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 tabRatio="918" activeTab="3"/>
  </bookViews>
  <sheets>
    <sheet name="Summary " sheetId="14" r:id="rId1"/>
    <sheet name="1. Agribusiness Development" sheetId="21" r:id="rId2"/>
    <sheet name="2. Skill Development and Employ" sheetId="23" r:id="rId3"/>
    <sheet name="3.Proj Management Unit" sheetId="26" r:id="rId4"/>
    <sheet name="Proj Management (2)" sheetId="24" state="hidden" r:id="rId5"/>
  </sheets>
  <externalReferences>
    <externalReference r:id="rId6"/>
    <externalReference r:id="rId7"/>
  </externalReferences>
  <definedNames>
    <definedName name="a" localSheetId="1">#REF!</definedName>
    <definedName name="a" localSheetId="2">#REF!</definedName>
    <definedName name="a" localSheetId="3">#REF!</definedName>
    <definedName name="a" localSheetId="4">#REF!</definedName>
    <definedName name="a">#REF!</definedName>
    <definedName name="_xlnm.Print_Area" localSheetId="1">'1. Agribusiness Development'!$A$1:$T$38</definedName>
    <definedName name="_xlnm.Print_Area" localSheetId="3">'3.Proj Management Unit'!$A$1:$S$145</definedName>
    <definedName name="_xlnm.Print_Area" localSheetId="4">'Proj Management (2)'!$A$1:$M$130</definedName>
    <definedName name="_xlnm.Print_Titles" localSheetId="3">'3.Proj Management Unit'!$1:$2</definedName>
    <definedName name="_xlnm.Print_Titles" localSheetId="4">'Proj Management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1" l="1"/>
  <c r="S34" i="21"/>
  <c r="Q34" i="21" s="1"/>
  <c r="P34" i="21" l="1"/>
  <c r="C33" i="14"/>
  <c r="O138" i="26"/>
  <c r="N137" i="26"/>
  <c r="Q137" i="26" s="1"/>
  <c r="N136" i="26"/>
  <c r="P136" i="26" s="1"/>
  <c r="N135" i="26"/>
  <c r="N134" i="26"/>
  <c r="P134" i="26" s="1"/>
  <c r="N133" i="26"/>
  <c r="Q133" i="26" s="1"/>
  <c r="N132" i="26"/>
  <c r="P132" i="26" s="1"/>
  <c r="N131" i="26"/>
  <c r="Q131" i="26" s="1"/>
  <c r="N130" i="26"/>
  <c r="P130" i="26" s="1"/>
  <c r="N125" i="26"/>
  <c r="N124" i="26"/>
  <c r="N123" i="26"/>
  <c r="Q123" i="26" s="1"/>
  <c r="N122" i="26"/>
  <c r="Q122" i="26" s="1"/>
  <c r="N121" i="26"/>
  <c r="N118" i="26"/>
  <c r="Q118" i="26" s="1"/>
  <c r="N117" i="26"/>
  <c r="N116" i="26"/>
  <c r="P116" i="26" s="1"/>
  <c r="N115" i="26"/>
  <c r="O115" i="26" s="1"/>
  <c r="N95" i="26"/>
  <c r="P95" i="26" s="1"/>
  <c r="N94" i="26"/>
  <c r="Q94" i="26" s="1"/>
  <c r="N93" i="26"/>
  <c r="Q93" i="26" s="1"/>
  <c r="N92" i="26"/>
  <c r="Q92" i="26" s="1"/>
  <c r="N91" i="26"/>
  <c r="P91" i="26" s="1"/>
  <c r="N90" i="26"/>
  <c r="O90" i="26" s="1"/>
  <c r="N89" i="26"/>
  <c r="P89" i="26" s="1"/>
  <c r="N87" i="26"/>
  <c r="Q87" i="26" s="1"/>
  <c r="N74" i="26"/>
  <c r="Q74" i="26" s="1"/>
  <c r="N119" i="26"/>
  <c r="O124" i="26"/>
  <c r="R55" i="26"/>
  <c r="R56" i="26"/>
  <c r="O56" i="26" s="1"/>
  <c r="R57" i="26"/>
  <c r="P57" i="26" s="1"/>
  <c r="R58" i="26"/>
  <c r="P58" i="26" s="1"/>
  <c r="Q27" i="26"/>
  <c r="R13" i="26"/>
  <c r="O13" i="26" s="1"/>
  <c r="R14" i="26"/>
  <c r="R15" i="26"/>
  <c r="O15" i="26" s="1"/>
  <c r="R16" i="26"/>
  <c r="O16" i="26" s="1"/>
  <c r="R17" i="26"/>
  <c r="P17" i="26" s="1"/>
  <c r="R18" i="26"/>
  <c r="O18" i="26" s="1"/>
  <c r="R19" i="26"/>
  <c r="P19" i="26" s="1"/>
  <c r="R20" i="26"/>
  <c r="R21" i="26"/>
  <c r="P21" i="26" s="1"/>
  <c r="R22" i="26"/>
  <c r="P22" i="26" s="1"/>
  <c r="R23" i="26"/>
  <c r="O23" i="26" s="1"/>
  <c r="R24" i="26"/>
  <c r="P24" i="26" s="1"/>
  <c r="R25" i="26"/>
  <c r="O25" i="26" s="1"/>
  <c r="R26" i="26"/>
  <c r="O26" i="26" s="1"/>
  <c r="R28" i="26"/>
  <c r="R29" i="26"/>
  <c r="P29" i="26" s="1"/>
  <c r="R30" i="26"/>
  <c r="R31" i="26"/>
  <c r="O31" i="26" s="1"/>
  <c r="P138" i="26"/>
  <c r="P135" i="26"/>
  <c r="Q134" i="26"/>
  <c r="O133" i="26"/>
  <c r="Q132" i="26"/>
  <c r="Q127" i="26"/>
  <c r="Q128" i="26" s="1"/>
  <c r="P127" i="26"/>
  <c r="P128" i="26" s="1"/>
  <c r="O127" i="26"/>
  <c r="O128" i="26" s="1"/>
  <c r="Q125" i="26"/>
  <c r="Q124" i="26"/>
  <c r="O123" i="26"/>
  <c r="O122" i="26"/>
  <c r="P121" i="26"/>
  <c r="Q119" i="26"/>
  <c r="P119" i="26"/>
  <c r="Q117" i="26"/>
  <c r="G117" i="26"/>
  <c r="G116" i="26"/>
  <c r="G115" i="26"/>
  <c r="Q110" i="26"/>
  <c r="P110" i="26"/>
  <c r="O110" i="26"/>
  <c r="R110" i="26" s="1"/>
  <c r="Q109" i="26"/>
  <c r="P109" i="26"/>
  <c r="O109" i="26"/>
  <c r="Q108" i="26"/>
  <c r="P108" i="26"/>
  <c r="O108" i="26"/>
  <c r="Q105" i="26"/>
  <c r="P105" i="26"/>
  <c r="O105" i="26"/>
  <c r="Q104" i="26"/>
  <c r="P104" i="26"/>
  <c r="O104" i="26"/>
  <c r="Q103" i="26"/>
  <c r="P103" i="26"/>
  <c r="O103" i="26"/>
  <c r="Q102" i="26"/>
  <c r="P102" i="26"/>
  <c r="O102" i="26"/>
  <c r="Q101" i="26"/>
  <c r="O101" i="26"/>
  <c r="Q100" i="26"/>
  <c r="P100" i="26"/>
  <c r="O100" i="26"/>
  <c r="Q99" i="26"/>
  <c r="O99" i="26"/>
  <c r="Q98" i="26"/>
  <c r="P98" i="26"/>
  <c r="O98" i="26"/>
  <c r="Q95" i="26"/>
  <c r="O94" i="26"/>
  <c r="P92" i="26"/>
  <c r="O92" i="26"/>
  <c r="Q88" i="26"/>
  <c r="P88" i="26"/>
  <c r="O88" i="26"/>
  <c r="G87" i="26"/>
  <c r="Q85" i="26"/>
  <c r="P85" i="26"/>
  <c r="O85" i="26"/>
  <c r="Q84" i="26"/>
  <c r="P84" i="26"/>
  <c r="O84" i="26"/>
  <c r="Q83" i="26"/>
  <c r="P83" i="26"/>
  <c r="O83" i="26"/>
  <c r="Q82" i="26"/>
  <c r="P82" i="26"/>
  <c r="O82" i="26"/>
  <c r="Q81" i="26"/>
  <c r="P81" i="26"/>
  <c r="O81" i="26"/>
  <c r="Q80" i="26"/>
  <c r="P80" i="26"/>
  <c r="O80" i="26"/>
  <c r="Q79" i="26"/>
  <c r="P79" i="26"/>
  <c r="O79" i="26"/>
  <c r="Q78" i="26"/>
  <c r="P78" i="26"/>
  <c r="O78" i="26"/>
  <c r="Q77" i="26"/>
  <c r="P77" i="26"/>
  <c r="O77" i="26"/>
  <c r="Q76" i="26"/>
  <c r="P76" i="26"/>
  <c r="O76" i="26"/>
  <c r="Q75" i="26"/>
  <c r="P75" i="26"/>
  <c r="O75" i="26"/>
  <c r="G74" i="26"/>
  <c r="Q73" i="26"/>
  <c r="P73" i="26"/>
  <c r="O73" i="26"/>
  <c r="Q72" i="26"/>
  <c r="P72" i="26"/>
  <c r="O72" i="26"/>
  <c r="Q71" i="26"/>
  <c r="P71" i="26"/>
  <c r="O71" i="26"/>
  <c r="Q70" i="26"/>
  <c r="P70" i="26"/>
  <c r="O70" i="26"/>
  <c r="Q69" i="26"/>
  <c r="P69" i="26"/>
  <c r="O69" i="26"/>
  <c r="Q68" i="26"/>
  <c r="P68" i="26"/>
  <c r="O68" i="26"/>
  <c r="Q67" i="26"/>
  <c r="P67" i="26"/>
  <c r="O67" i="26"/>
  <c r="Q66" i="26"/>
  <c r="P66" i="26"/>
  <c r="O66" i="26"/>
  <c r="Q65" i="26"/>
  <c r="P65" i="26"/>
  <c r="O65" i="26"/>
  <c r="Q58" i="26"/>
  <c r="Q57" i="26"/>
  <c r="Q56" i="26"/>
  <c r="R53" i="26"/>
  <c r="O53" i="26" s="1"/>
  <c r="Q53" i="26"/>
  <c r="R52" i="26"/>
  <c r="F51" i="26"/>
  <c r="R51" i="26" s="1"/>
  <c r="R50" i="26"/>
  <c r="O50" i="26" s="1"/>
  <c r="Q50" i="26"/>
  <c r="R49" i="26"/>
  <c r="O49" i="26" s="1"/>
  <c r="Q49" i="26"/>
  <c r="R48" i="26"/>
  <c r="O48" i="26" s="1"/>
  <c r="Q48" i="26"/>
  <c r="R47" i="26"/>
  <c r="O47" i="26" s="1"/>
  <c r="Q47" i="26"/>
  <c r="R46" i="26"/>
  <c r="O46" i="26" s="1"/>
  <c r="Q46" i="26"/>
  <c r="R45" i="26"/>
  <c r="O45" i="26" s="1"/>
  <c r="Q45" i="26"/>
  <c r="R44" i="26"/>
  <c r="O44" i="26" s="1"/>
  <c r="Q44" i="26"/>
  <c r="Q43" i="26"/>
  <c r="G43" i="26"/>
  <c r="R43" i="26" s="1"/>
  <c r="R39" i="26"/>
  <c r="Q38" i="26"/>
  <c r="P38" i="26"/>
  <c r="O38" i="26"/>
  <c r="Q37" i="26"/>
  <c r="P37" i="26"/>
  <c r="O37" i="26"/>
  <c r="Q36" i="26"/>
  <c r="P36" i="26"/>
  <c r="O36" i="26"/>
  <c r="Q35" i="26"/>
  <c r="Q39" i="26" s="1"/>
  <c r="P35" i="26"/>
  <c r="O35" i="26"/>
  <c r="Q34" i="26"/>
  <c r="P34" i="26"/>
  <c r="O34" i="26"/>
  <c r="Q31" i="26"/>
  <c r="Q30" i="26"/>
  <c r="P30" i="26"/>
  <c r="O30" i="26"/>
  <c r="Q29" i="26"/>
  <c r="P25" i="26"/>
  <c r="P23" i="26"/>
  <c r="P20" i="26"/>
  <c r="E19" i="26"/>
  <c r="O17" i="26"/>
  <c r="P16" i="26"/>
  <c r="O14" i="26"/>
  <c r="R12" i="26"/>
  <c r="P12" i="26" s="1"/>
  <c r="O19" i="26" l="1"/>
  <c r="O58" i="26"/>
  <c r="P90" i="26"/>
  <c r="Q91" i="26"/>
  <c r="P94" i="26"/>
  <c r="R94" i="26" s="1"/>
  <c r="O21" i="26"/>
  <c r="O131" i="26"/>
  <c r="R131" i="26" s="1"/>
  <c r="R75" i="26"/>
  <c r="P13" i="26"/>
  <c r="P39" i="26"/>
  <c r="Q89" i="26"/>
  <c r="R101" i="26"/>
  <c r="R104" i="26"/>
  <c r="Q111" i="26"/>
  <c r="P115" i="26"/>
  <c r="R122" i="26"/>
  <c r="P18" i="26"/>
  <c r="P26" i="26"/>
  <c r="P44" i="26"/>
  <c r="Q51" i="26"/>
  <c r="R67" i="26"/>
  <c r="R88" i="26"/>
  <c r="Q54" i="26"/>
  <c r="Q60" i="26" s="1"/>
  <c r="O22" i="26"/>
  <c r="O39" i="26"/>
  <c r="O57" i="26"/>
  <c r="O59" i="26" s="1"/>
  <c r="R81" i="26"/>
  <c r="R65" i="26"/>
  <c r="R69" i="26"/>
  <c r="R79" i="26"/>
  <c r="R77" i="26"/>
  <c r="Q138" i="26"/>
  <c r="R138" i="26" s="1"/>
  <c r="P118" i="26"/>
  <c r="O118" i="26"/>
  <c r="R118" i="26" s="1"/>
  <c r="O95" i="26"/>
  <c r="R95" i="26" s="1"/>
  <c r="O93" i="26"/>
  <c r="P93" i="26"/>
  <c r="R92" i="26"/>
  <c r="O91" i="26"/>
  <c r="R91" i="26" s="1"/>
  <c r="Q90" i="26"/>
  <c r="R90" i="26" s="1"/>
  <c r="O89" i="26"/>
  <c r="P87" i="26"/>
  <c r="O87" i="26"/>
  <c r="R87" i="26" s="1"/>
  <c r="P74" i="26"/>
  <c r="O74" i="26"/>
  <c r="Q115" i="26"/>
  <c r="O106" i="26"/>
  <c r="R100" i="26"/>
  <c r="R85" i="26"/>
  <c r="R83" i="26"/>
  <c r="R71" i="26"/>
  <c r="P47" i="26"/>
  <c r="P137" i="26"/>
  <c r="P139" i="26" s="1"/>
  <c r="Q106" i="26"/>
  <c r="R102" i="26"/>
  <c r="O111" i="26"/>
  <c r="O12" i="26"/>
  <c r="O119" i="26"/>
  <c r="R119" i="26" s="1"/>
  <c r="Q136" i="26"/>
  <c r="Q32" i="26"/>
  <c r="Q40" i="26" s="1"/>
  <c r="R89" i="26"/>
  <c r="R93" i="26"/>
  <c r="R99" i="26"/>
  <c r="R105" i="26"/>
  <c r="P111" i="26"/>
  <c r="P117" i="26"/>
  <c r="R123" i="26"/>
  <c r="O125" i="26"/>
  <c r="R125" i="26" s="1"/>
  <c r="R127" i="26"/>
  <c r="R128" i="26" s="1"/>
  <c r="O134" i="26"/>
  <c r="R134" i="26" s="1"/>
  <c r="O136" i="26"/>
  <c r="R133" i="26"/>
  <c r="P106" i="26"/>
  <c r="R103" i="26"/>
  <c r="R109" i="26"/>
  <c r="R124" i="26"/>
  <c r="O130" i="26"/>
  <c r="R27" i="26"/>
  <c r="Q130" i="26"/>
  <c r="P14" i="26"/>
  <c r="P46" i="26"/>
  <c r="P50" i="26"/>
  <c r="O29" i="26"/>
  <c r="O32" i="26" s="1"/>
  <c r="P45" i="26"/>
  <c r="R54" i="26"/>
  <c r="P49" i="26"/>
  <c r="P48" i="26"/>
  <c r="R59" i="26"/>
  <c r="R73" i="26"/>
  <c r="R72" i="26"/>
  <c r="R74" i="26"/>
  <c r="R78" i="26"/>
  <c r="R82" i="26"/>
  <c r="R76" i="26"/>
  <c r="R80" i="26"/>
  <c r="R84" i="26"/>
  <c r="R70" i="26"/>
  <c r="R68" i="26"/>
  <c r="R66" i="26"/>
  <c r="P56" i="26"/>
  <c r="P59" i="26" s="1"/>
  <c r="Q59" i="26"/>
  <c r="R32" i="26"/>
  <c r="P31" i="26"/>
  <c r="P32" i="26" s="1"/>
  <c r="P51" i="26"/>
  <c r="O51" i="26"/>
  <c r="P43" i="26"/>
  <c r="O43" i="26"/>
  <c r="O20" i="26"/>
  <c r="O24" i="26"/>
  <c r="P53" i="26"/>
  <c r="P15" i="26"/>
  <c r="R98" i="26"/>
  <c r="Q116" i="26"/>
  <c r="O117" i="26"/>
  <c r="Q121" i="26"/>
  <c r="O132" i="26"/>
  <c r="R132" i="26" s="1"/>
  <c r="Q135" i="26"/>
  <c r="O137" i="26"/>
  <c r="R108" i="26"/>
  <c r="O116" i="26"/>
  <c r="O121" i="26"/>
  <c r="O135" i="26"/>
  <c r="R115" i="26" l="1"/>
  <c r="Q96" i="26"/>
  <c r="P126" i="26"/>
  <c r="R40" i="26"/>
  <c r="P27" i="26"/>
  <c r="O54" i="26"/>
  <c r="O60" i="26" s="1"/>
  <c r="G29" i="14" s="1"/>
  <c r="E29" i="14" s="1"/>
  <c r="R136" i="26"/>
  <c r="Q112" i="26"/>
  <c r="P96" i="26"/>
  <c r="P112" i="26" s="1"/>
  <c r="H31" i="14" s="1"/>
  <c r="O96" i="26"/>
  <c r="O112" i="26" s="1"/>
  <c r="G31" i="14" s="1"/>
  <c r="R130" i="26"/>
  <c r="P140" i="26"/>
  <c r="H32" i="14" s="1"/>
  <c r="R111" i="26"/>
  <c r="R121" i="26"/>
  <c r="R137" i="26"/>
  <c r="R117" i="26"/>
  <c r="Q139" i="26"/>
  <c r="Q126" i="26"/>
  <c r="O139" i="26"/>
  <c r="R135" i="26"/>
  <c r="R106" i="26"/>
  <c r="R116" i="26"/>
  <c r="O27" i="26"/>
  <c r="O40" i="26" s="1"/>
  <c r="R60" i="26"/>
  <c r="R96" i="26"/>
  <c r="Q61" i="26"/>
  <c r="P40" i="26"/>
  <c r="H28" i="14" s="1"/>
  <c r="R61" i="26"/>
  <c r="O126" i="26"/>
  <c r="P54" i="26"/>
  <c r="P60" i="26" s="1"/>
  <c r="H29" i="14" s="1"/>
  <c r="I16" i="23"/>
  <c r="H30" i="21"/>
  <c r="H31" i="21" s="1"/>
  <c r="I31" i="21"/>
  <c r="J31" i="21"/>
  <c r="K31" i="21"/>
  <c r="L31" i="21"/>
  <c r="M31" i="21"/>
  <c r="N31" i="21"/>
  <c r="O31" i="21"/>
  <c r="Q31" i="21"/>
  <c r="Q20" i="21"/>
  <c r="H36" i="21"/>
  <c r="S36" i="21"/>
  <c r="P36" i="21" s="1"/>
  <c r="H33" i="21"/>
  <c r="S33" i="21"/>
  <c r="P33" i="21" s="1"/>
  <c r="H35" i="21"/>
  <c r="R35" i="21"/>
  <c r="O61" i="26" l="1"/>
  <c r="G28" i="14"/>
  <c r="O140" i="26"/>
  <c r="O141" i="26" s="1"/>
  <c r="R112" i="26"/>
  <c r="E31" i="14"/>
  <c r="R139" i="26"/>
  <c r="P141" i="26"/>
  <c r="Q140" i="26"/>
  <c r="Q141" i="26" s="1"/>
  <c r="Q144" i="26" s="1"/>
  <c r="R126" i="26"/>
  <c r="P61" i="26"/>
  <c r="Q36" i="21"/>
  <c r="S35" i="21"/>
  <c r="P35" i="21"/>
  <c r="Q33" i="21"/>
  <c r="O144" i="26" l="1"/>
  <c r="G32" i="14"/>
  <c r="E32" i="14" s="1"/>
  <c r="P144" i="26"/>
  <c r="R140" i="26"/>
  <c r="R141" i="26" s="1"/>
  <c r="R144" i="26" s="1"/>
  <c r="Q35" i="21"/>
  <c r="I92" i="24" l="1"/>
  <c r="K23" i="24" l="1"/>
  <c r="K24" i="24"/>
  <c r="D33" i="14" l="1"/>
  <c r="I13" i="23"/>
  <c r="I14" i="23"/>
  <c r="I20" i="23"/>
  <c r="T12" i="23" l="1"/>
  <c r="I29" i="14"/>
  <c r="C23" i="14"/>
  <c r="C22" i="14"/>
  <c r="C21" i="14"/>
  <c r="C20" i="14"/>
  <c r="B24" i="14"/>
  <c r="B23" i="14"/>
  <c r="B22" i="14"/>
  <c r="B21" i="14"/>
  <c r="B20" i="14"/>
  <c r="B17" i="14"/>
  <c r="B16" i="14"/>
  <c r="B15" i="14"/>
  <c r="B14" i="14"/>
  <c r="B13" i="14"/>
  <c r="J124" i="24"/>
  <c r="I124" i="24"/>
  <c r="J98" i="24"/>
  <c r="I98" i="24"/>
  <c r="J97" i="24"/>
  <c r="I97" i="24"/>
  <c r="J96" i="24"/>
  <c r="I96" i="24"/>
  <c r="J92" i="24"/>
  <c r="J93" i="24"/>
  <c r="I93" i="24"/>
  <c r="J91" i="24"/>
  <c r="I91" i="24"/>
  <c r="J90" i="24"/>
  <c r="I90" i="24"/>
  <c r="I89" i="24"/>
  <c r="J88" i="24"/>
  <c r="I88" i="24"/>
  <c r="I87" i="24"/>
  <c r="I83" i="24"/>
  <c r="I82" i="24"/>
  <c r="I81" i="24"/>
  <c r="I80" i="24"/>
  <c r="I79" i="24"/>
  <c r="I53" i="24"/>
  <c r="J53" i="24"/>
  <c r="L47" i="24"/>
  <c r="J46" i="24"/>
  <c r="I46" i="24"/>
  <c r="J45" i="24"/>
  <c r="I45" i="24"/>
  <c r="J44" i="24"/>
  <c r="I44" i="24"/>
  <c r="L42" i="24"/>
  <c r="J41" i="24"/>
  <c r="I41" i="24"/>
  <c r="J40" i="24"/>
  <c r="I40" i="24"/>
  <c r="J39" i="24"/>
  <c r="I39" i="24"/>
  <c r="J38" i="24"/>
  <c r="I38" i="24"/>
  <c r="J37" i="24"/>
  <c r="I37" i="24"/>
  <c r="J36" i="24"/>
  <c r="I36" i="24"/>
  <c r="J35" i="24"/>
  <c r="I35" i="24"/>
  <c r="J34" i="24"/>
  <c r="I34" i="24"/>
  <c r="J33" i="24"/>
  <c r="I33" i="24"/>
  <c r="J32" i="24"/>
  <c r="I32" i="24"/>
  <c r="L28" i="24"/>
  <c r="I24" i="24"/>
  <c r="J24" i="24"/>
  <c r="J23" i="24"/>
  <c r="I23" i="24"/>
  <c r="L21" i="24"/>
  <c r="J20" i="24"/>
  <c r="I20" i="24"/>
  <c r="J19" i="24"/>
  <c r="I19" i="24"/>
  <c r="J18" i="24"/>
  <c r="I18" i="24"/>
  <c r="L16" i="24"/>
  <c r="K16" i="24"/>
  <c r="J15" i="24"/>
  <c r="I15" i="24"/>
  <c r="J14" i="24"/>
  <c r="I14" i="24"/>
  <c r="J13" i="24"/>
  <c r="I13" i="24"/>
  <c r="J12" i="24"/>
  <c r="I12" i="24"/>
  <c r="J11" i="24"/>
  <c r="I11" i="24"/>
  <c r="J10" i="24"/>
  <c r="I10" i="24"/>
  <c r="J9" i="24"/>
  <c r="I9" i="24"/>
  <c r="J8" i="24"/>
  <c r="I8" i="24"/>
  <c r="J7" i="24"/>
  <c r="I7" i="24"/>
  <c r="J6" i="24"/>
  <c r="J16" i="24" s="1"/>
  <c r="I6" i="24"/>
  <c r="R21" i="23"/>
  <c r="S25" i="23"/>
  <c r="S26" i="23" s="1"/>
  <c r="I25" i="23"/>
  <c r="I26" i="23" s="1"/>
  <c r="C24" i="14" s="1"/>
  <c r="S18" i="23"/>
  <c r="I18" i="23"/>
  <c r="T24" i="23"/>
  <c r="R24" i="23" s="1"/>
  <c r="T23" i="23"/>
  <c r="Q23" i="23" s="1"/>
  <c r="T22" i="23"/>
  <c r="Q22" i="23" s="1"/>
  <c r="T20" i="23"/>
  <c r="Q20" i="23" s="1"/>
  <c r="T16" i="23"/>
  <c r="E23" i="14" s="1"/>
  <c r="T14" i="23"/>
  <c r="E22" i="14" s="1"/>
  <c r="T13" i="23"/>
  <c r="E21" i="14" s="1"/>
  <c r="F21" i="14" s="1"/>
  <c r="R23" i="23" l="1"/>
  <c r="T25" i="23"/>
  <c r="T26" i="23" s="1"/>
  <c r="E24" i="14" s="1"/>
  <c r="R13" i="23"/>
  <c r="H21" i="14" s="1"/>
  <c r="Q16" i="23"/>
  <c r="G23" i="14" s="1"/>
  <c r="R20" i="23"/>
  <c r="T18" i="23"/>
  <c r="T27" i="23" s="1"/>
  <c r="R14" i="23"/>
  <c r="R16" i="23"/>
  <c r="H23" i="14" s="1"/>
  <c r="R22" i="23"/>
  <c r="R25" i="23" s="1"/>
  <c r="L48" i="24"/>
  <c r="C29" i="14" s="1"/>
  <c r="L29" i="24"/>
  <c r="C28" i="14" s="1"/>
  <c r="I16" i="24"/>
  <c r="J42" i="24"/>
  <c r="I47" i="24"/>
  <c r="I21" i="24"/>
  <c r="J47" i="24"/>
  <c r="J48" i="24" s="1"/>
  <c r="I99" i="24"/>
  <c r="J21" i="24"/>
  <c r="I42" i="24"/>
  <c r="J99" i="24"/>
  <c r="I27" i="23"/>
  <c r="Q13" i="23"/>
  <c r="G21" i="14" s="1"/>
  <c r="Q12" i="23"/>
  <c r="E20" i="14"/>
  <c r="R12" i="23"/>
  <c r="S27" i="23"/>
  <c r="Q24" i="23"/>
  <c r="Q25" i="23" s="1"/>
  <c r="Q26" i="23" s="1"/>
  <c r="G24" i="14" s="1"/>
  <c r="O38" i="21"/>
  <c r="R37" i="21"/>
  <c r="H37" i="21"/>
  <c r="C17" i="14" s="1"/>
  <c r="D17" i="14" s="1"/>
  <c r="I16" i="14"/>
  <c r="C16" i="14"/>
  <c r="D16" i="14" s="1"/>
  <c r="C15" i="14"/>
  <c r="D15" i="14" s="1"/>
  <c r="Q25" i="21"/>
  <c r="H25" i="21"/>
  <c r="C14" i="14" s="1"/>
  <c r="D14" i="14" s="1"/>
  <c r="P37" i="21"/>
  <c r="G17" i="14" s="1"/>
  <c r="H16" i="14"/>
  <c r="S30" i="21"/>
  <c r="S24" i="21"/>
  <c r="R24" i="21" s="1"/>
  <c r="S19" i="21"/>
  <c r="P19" i="21" s="1"/>
  <c r="S18" i="21"/>
  <c r="P18" i="21" s="1"/>
  <c r="S17" i="21"/>
  <c r="P17" i="21" s="1"/>
  <c r="S16" i="21"/>
  <c r="R16" i="21" s="1"/>
  <c r="S15" i="21"/>
  <c r="H19" i="21"/>
  <c r="H18" i="21"/>
  <c r="H17" i="21"/>
  <c r="H16" i="21"/>
  <c r="H15" i="21"/>
  <c r="K75" i="24"/>
  <c r="J75" i="24"/>
  <c r="I75" i="24"/>
  <c r="K59" i="24"/>
  <c r="J59" i="24"/>
  <c r="I59" i="24"/>
  <c r="K124" i="24"/>
  <c r="H123" i="24"/>
  <c r="H122" i="24"/>
  <c r="H121" i="24"/>
  <c r="H120" i="24"/>
  <c r="H119" i="24"/>
  <c r="I119" i="24" s="1"/>
  <c r="H118" i="24"/>
  <c r="H117" i="24"/>
  <c r="I117" i="24" s="1"/>
  <c r="H116" i="24"/>
  <c r="J116" i="24" s="1"/>
  <c r="K113" i="24"/>
  <c r="K114" i="24" s="1"/>
  <c r="J113" i="24"/>
  <c r="J114" i="24" s="1"/>
  <c r="I113" i="24"/>
  <c r="I114" i="24" s="1"/>
  <c r="H111" i="24"/>
  <c r="I111" i="24" s="1"/>
  <c r="H110" i="24"/>
  <c r="I110" i="24" s="1"/>
  <c r="H109" i="24"/>
  <c r="I109" i="24" s="1"/>
  <c r="H108" i="24"/>
  <c r="I108" i="24" s="1"/>
  <c r="H107" i="24"/>
  <c r="K107" i="24" s="1"/>
  <c r="H105" i="24"/>
  <c r="J105" i="24" s="1"/>
  <c r="H104" i="24"/>
  <c r="K104" i="24" s="1"/>
  <c r="K103" i="24"/>
  <c r="J103" i="24"/>
  <c r="I103" i="24"/>
  <c r="K98" i="24"/>
  <c r="K97" i="24"/>
  <c r="K96" i="24"/>
  <c r="K93" i="24"/>
  <c r="K92" i="24"/>
  <c r="K91" i="24"/>
  <c r="K90" i="24"/>
  <c r="K89" i="24"/>
  <c r="K88" i="24"/>
  <c r="K87" i="24"/>
  <c r="K86" i="24"/>
  <c r="J86" i="24"/>
  <c r="J94" i="24" s="1"/>
  <c r="I86" i="24"/>
  <c r="I94" i="24" s="1"/>
  <c r="K83" i="24"/>
  <c r="K82" i="24"/>
  <c r="K81" i="24"/>
  <c r="K80" i="24"/>
  <c r="K79" i="24"/>
  <c r="K78" i="24"/>
  <c r="J78" i="24"/>
  <c r="I78" i="24"/>
  <c r="K77" i="24"/>
  <c r="J77" i="24"/>
  <c r="I77" i="24"/>
  <c r="K76" i="24"/>
  <c r="J76" i="24"/>
  <c r="I76" i="24"/>
  <c r="K74" i="24"/>
  <c r="J74" i="24"/>
  <c r="I74" i="24"/>
  <c r="K73" i="24"/>
  <c r="J73" i="24"/>
  <c r="I73" i="24"/>
  <c r="K71" i="24"/>
  <c r="J71" i="24"/>
  <c r="I71" i="24"/>
  <c r="K70" i="24"/>
  <c r="J70" i="24"/>
  <c r="I70" i="24"/>
  <c r="K69" i="24"/>
  <c r="J69" i="24"/>
  <c r="I69" i="24"/>
  <c r="K68" i="24"/>
  <c r="J68" i="24"/>
  <c r="I68" i="24"/>
  <c r="K67" i="24"/>
  <c r="J67" i="24"/>
  <c r="I67" i="24"/>
  <c r="K65" i="24"/>
  <c r="J65" i="24"/>
  <c r="I65" i="24"/>
  <c r="K64" i="24"/>
  <c r="J64" i="24"/>
  <c r="I64" i="24"/>
  <c r="K63" i="24"/>
  <c r="J63" i="24"/>
  <c r="I63" i="24"/>
  <c r="K62" i="24"/>
  <c r="J62" i="24"/>
  <c r="I62" i="24"/>
  <c r="K61" i="24"/>
  <c r="J61" i="24"/>
  <c r="I61" i="24"/>
  <c r="K60" i="24"/>
  <c r="J60" i="24"/>
  <c r="I60" i="24"/>
  <c r="K58" i="24"/>
  <c r="J58" i="24"/>
  <c r="I58" i="24"/>
  <c r="K57" i="24"/>
  <c r="J57" i="24"/>
  <c r="I57" i="24"/>
  <c r="K56" i="24"/>
  <c r="J56" i="24"/>
  <c r="I56" i="24"/>
  <c r="K55" i="24"/>
  <c r="J55" i="24"/>
  <c r="I55" i="24"/>
  <c r="K54" i="24"/>
  <c r="J54" i="24"/>
  <c r="I54" i="24"/>
  <c r="K53" i="24"/>
  <c r="K46" i="24"/>
  <c r="K45" i="24"/>
  <c r="K44" i="24"/>
  <c r="K41" i="24"/>
  <c r="K40" i="24"/>
  <c r="K39" i="24"/>
  <c r="K38" i="24"/>
  <c r="K37" i="24"/>
  <c r="K36" i="24"/>
  <c r="K35" i="24"/>
  <c r="K34" i="24"/>
  <c r="K33" i="24"/>
  <c r="K32" i="24"/>
  <c r="K27" i="24"/>
  <c r="J27" i="24"/>
  <c r="I27" i="24"/>
  <c r="K26" i="24"/>
  <c r="J26" i="24"/>
  <c r="I26" i="24"/>
  <c r="K25" i="24"/>
  <c r="J25" i="24"/>
  <c r="I25" i="24"/>
  <c r="K20" i="24"/>
  <c r="K19" i="24"/>
  <c r="K18" i="24"/>
  <c r="E13" i="24"/>
  <c r="R30" i="21" l="1"/>
  <c r="S31" i="21"/>
  <c r="S20" i="21"/>
  <c r="H20" i="21"/>
  <c r="R26" i="23"/>
  <c r="H24" i="14" s="1"/>
  <c r="Q14" i="23"/>
  <c r="G22" i="14" s="1"/>
  <c r="H22" i="14"/>
  <c r="L49" i="24"/>
  <c r="J28" i="24"/>
  <c r="J29" i="24" s="1"/>
  <c r="J49" i="24" s="1"/>
  <c r="K42" i="24"/>
  <c r="I48" i="24"/>
  <c r="L53" i="24"/>
  <c r="K84" i="24"/>
  <c r="I28" i="24"/>
  <c r="I29" i="24" s="1"/>
  <c r="K28" i="24"/>
  <c r="R18" i="23"/>
  <c r="H20" i="14"/>
  <c r="G20" i="14"/>
  <c r="J84" i="24"/>
  <c r="J100" i="24" s="1"/>
  <c r="I84" i="24"/>
  <c r="I100" i="24" s="1"/>
  <c r="K21" i="24"/>
  <c r="J118" i="24"/>
  <c r="I118" i="24"/>
  <c r="J122" i="24"/>
  <c r="I122" i="24"/>
  <c r="J123" i="24"/>
  <c r="I123" i="24"/>
  <c r="K47" i="24"/>
  <c r="K94" i="24"/>
  <c r="K99" i="24"/>
  <c r="K120" i="24"/>
  <c r="J120" i="24"/>
  <c r="I120" i="24"/>
  <c r="J121" i="24"/>
  <c r="I121" i="24"/>
  <c r="P24" i="21"/>
  <c r="P25" i="21" s="1"/>
  <c r="G14" i="14" s="1"/>
  <c r="R25" i="21"/>
  <c r="I14" i="14" s="1"/>
  <c r="P15" i="21"/>
  <c r="E16" i="14"/>
  <c r="F16" i="14" s="1"/>
  <c r="Q37" i="21"/>
  <c r="S25" i="21"/>
  <c r="S37" i="21"/>
  <c r="E17" i="14" s="1"/>
  <c r="F17" i="14" s="1"/>
  <c r="R15" i="21"/>
  <c r="R17" i="21"/>
  <c r="E15" i="14"/>
  <c r="F15" i="14" s="1"/>
  <c r="R19" i="21"/>
  <c r="P16" i="21"/>
  <c r="R18" i="21"/>
  <c r="L59" i="24"/>
  <c r="L75" i="24"/>
  <c r="K108" i="24"/>
  <c r="K111" i="24"/>
  <c r="L98" i="24"/>
  <c r="L71" i="24"/>
  <c r="L83" i="24"/>
  <c r="L86" i="24"/>
  <c r="L90" i="24"/>
  <c r="L57" i="24"/>
  <c r="L60" i="24"/>
  <c r="L64" i="24"/>
  <c r="K121" i="24"/>
  <c r="L77" i="24"/>
  <c r="L54" i="24"/>
  <c r="L56" i="24"/>
  <c r="L62" i="24"/>
  <c r="L69" i="24"/>
  <c r="L88" i="24"/>
  <c r="L96" i="24"/>
  <c r="I107" i="24"/>
  <c r="K119" i="24"/>
  <c r="K122" i="24"/>
  <c r="L73" i="24"/>
  <c r="L103" i="24"/>
  <c r="J107" i="24"/>
  <c r="L113" i="24"/>
  <c r="L114" i="24" s="1"/>
  <c r="K118" i="24"/>
  <c r="L76" i="24"/>
  <c r="L81" i="24"/>
  <c r="J104" i="24"/>
  <c r="L55" i="24"/>
  <c r="L67" i="24"/>
  <c r="L70" i="24"/>
  <c r="L79" i="24"/>
  <c r="L82" i="24"/>
  <c r="L92" i="24"/>
  <c r="L97" i="24"/>
  <c r="K109" i="24"/>
  <c r="K110" i="24"/>
  <c r="K116" i="24"/>
  <c r="K117" i="24"/>
  <c r="L58" i="24"/>
  <c r="L61" i="24"/>
  <c r="L63" i="24"/>
  <c r="L74" i="24"/>
  <c r="L87" i="24"/>
  <c r="L89" i="24"/>
  <c r="I116" i="24"/>
  <c r="L124" i="24"/>
  <c r="L65" i="24"/>
  <c r="L68" i="24"/>
  <c r="L78" i="24"/>
  <c r="L80" i="24"/>
  <c r="L91" i="24"/>
  <c r="L93" i="24"/>
  <c r="K123" i="24"/>
  <c r="I104" i="24"/>
  <c r="K105" i="24"/>
  <c r="I105" i="24"/>
  <c r="D29" i="14"/>
  <c r="E14" i="14" l="1"/>
  <c r="P20" i="21"/>
  <c r="G13" i="14" s="1"/>
  <c r="R20" i="21"/>
  <c r="I13" i="14" s="1"/>
  <c r="R27" i="23"/>
  <c r="P30" i="21"/>
  <c r="P31" i="21" s="1"/>
  <c r="G15" i="14" s="1"/>
  <c r="R31" i="21"/>
  <c r="I15" i="14" s="1"/>
  <c r="Q18" i="23"/>
  <c r="Q27" i="23" s="1"/>
  <c r="F14" i="14"/>
  <c r="H38" i="21"/>
  <c r="C13" i="14"/>
  <c r="D13" i="14" s="1"/>
  <c r="Q38" i="21"/>
  <c r="H17" i="14"/>
  <c r="H18" i="14" s="1"/>
  <c r="G16" i="14"/>
  <c r="S38" i="21"/>
  <c r="J125" i="24"/>
  <c r="K48" i="24"/>
  <c r="I112" i="24"/>
  <c r="K29" i="24"/>
  <c r="I28" i="14" s="1"/>
  <c r="E28" i="14" s="1"/>
  <c r="K125" i="24"/>
  <c r="I49" i="24"/>
  <c r="L120" i="24"/>
  <c r="J112" i="24"/>
  <c r="L122" i="24"/>
  <c r="K112" i="24"/>
  <c r="K126" i="24" s="1"/>
  <c r="I32" i="14" s="1"/>
  <c r="K100" i="24"/>
  <c r="L84" i="24"/>
  <c r="I125" i="24"/>
  <c r="L99" i="24"/>
  <c r="L94" i="24"/>
  <c r="L121" i="24"/>
  <c r="L108" i="24"/>
  <c r="L117" i="24"/>
  <c r="L111" i="24"/>
  <c r="L123" i="24"/>
  <c r="L107" i="24"/>
  <c r="L116" i="24"/>
  <c r="L118" i="24"/>
  <c r="L110" i="24"/>
  <c r="L104" i="24"/>
  <c r="L119" i="24"/>
  <c r="L109" i="24"/>
  <c r="L105" i="24"/>
  <c r="I25" i="14"/>
  <c r="L29" i="14"/>
  <c r="J29" i="14"/>
  <c r="L28" i="14"/>
  <c r="J28" i="14"/>
  <c r="L24" i="14"/>
  <c r="J24" i="14"/>
  <c r="L23" i="14"/>
  <c r="J23" i="14"/>
  <c r="L22" i="14"/>
  <c r="J22" i="14"/>
  <c r="L21" i="14"/>
  <c r="J21" i="14"/>
  <c r="L20" i="14"/>
  <c r="J20" i="14"/>
  <c r="L16" i="14"/>
  <c r="L15" i="14"/>
  <c r="L14" i="14"/>
  <c r="J14" i="14"/>
  <c r="L13" i="14"/>
  <c r="J13" i="14"/>
  <c r="D24" i="14"/>
  <c r="D23" i="14"/>
  <c r="D22" i="14"/>
  <c r="D20" i="14"/>
  <c r="C25" i="14"/>
  <c r="D21" i="14"/>
  <c r="I18" i="14" l="1"/>
  <c r="J126" i="24"/>
  <c r="G18" i="14"/>
  <c r="I126" i="24"/>
  <c r="I127" i="24" s="1"/>
  <c r="I130" i="24" s="1"/>
  <c r="E13" i="14"/>
  <c r="F13" i="14" s="1"/>
  <c r="F18" i="14" s="1"/>
  <c r="R38" i="21"/>
  <c r="P38" i="21"/>
  <c r="K49" i="24"/>
  <c r="K130" i="24" s="1"/>
  <c r="L125" i="24"/>
  <c r="G34" i="14"/>
  <c r="I31" i="14"/>
  <c r="I34" i="14" s="1"/>
  <c r="K127" i="24"/>
  <c r="J127" i="24"/>
  <c r="J130" i="24" s="1"/>
  <c r="H34" i="14"/>
  <c r="J18" i="14"/>
  <c r="L100" i="24"/>
  <c r="C31" i="14" s="1"/>
  <c r="L112" i="24"/>
  <c r="J25" i="14"/>
  <c r="F29" i="14"/>
  <c r="F22" i="14"/>
  <c r="G25" i="14"/>
  <c r="H25" i="14"/>
  <c r="F23" i="14"/>
  <c r="F24" i="14"/>
  <c r="C18" i="14"/>
  <c r="L34" i="14"/>
  <c r="L25" i="14"/>
  <c r="J34" i="14"/>
  <c r="L18" i="14"/>
  <c r="D25" i="14"/>
  <c r="D18" i="14"/>
  <c r="D31" i="14" l="1"/>
  <c r="F31" i="14"/>
  <c r="L126" i="24"/>
  <c r="C32" i="14" s="1"/>
  <c r="D32" i="14" s="1"/>
  <c r="J35" i="14"/>
  <c r="E18" i="14"/>
  <c r="I35" i="14"/>
  <c r="D28" i="14"/>
  <c r="D34" i="14" s="1"/>
  <c r="H35" i="14"/>
  <c r="F20" i="14"/>
  <c r="F25" i="14" s="1"/>
  <c r="E25" i="14"/>
  <c r="L35" i="14"/>
  <c r="C34" i="14" l="1"/>
  <c r="C35" i="14" s="1"/>
  <c r="L127" i="24"/>
  <c r="L130" i="24" s="1"/>
  <c r="D35" i="14"/>
  <c r="F28" i="14"/>
  <c r="G35" i="14"/>
  <c r="F32" i="14" l="1"/>
  <c r="F34" i="14" s="1"/>
  <c r="F35" i="14" s="1"/>
  <c r="E34" i="14"/>
  <c r="E35" i="14" s="1"/>
</calcChain>
</file>

<file path=xl/sharedStrings.xml><?xml version="1.0" encoding="utf-8"?>
<sst xmlns="http://schemas.openxmlformats.org/spreadsheetml/2006/main" count="587" uniqueCount="270">
  <si>
    <t>%</t>
  </si>
  <si>
    <t>IFAD</t>
  </si>
  <si>
    <t>Objectives/Expected Results</t>
  </si>
  <si>
    <t>Results #</t>
  </si>
  <si>
    <t>B</t>
  </si>
  <si>
    <t>Motorcycles</t>
  </si>
  <si>
    <t>GRAND TOTAL</t>
  </si>
  <si>
    <t>A</t>
  </si>
  <si>
    <t>Office Establishment and Equipment</t>
  </si>
  <si>
    <t>Computers/laptops</t>
  </si>
  <si>
    <t>Printers</t>
  </si>
  <si>
    <t>UPS/Internet Connectivity</t>
  </si>
  <si>
    <t>Power Generator</t>
  </si>
  <si>
    <t xml:space="preserve">Photocopier </t>
  </si>
  <si>
    <t>Mobile Phone</t>
  </si>
  <si>
    <t>Furniture and Fixtures</t>
  </si>
  <si>
    <t>Vehicles for PMU</t>
  </si>
  <si>
    <t>Vehicles - DC Pickups</t>
  </si>
  <si>
    <t>Monitoirng and Evaluation</t>
  </si>
  <si>
    <t>Regional Coordination Units</t>
  </si>
  <si>
    <t>Laptops</t>
  </si>
  <si>
    <t>Desktop Computers</t>
  </si>
  <si>
    <t>3 in 1 Printers</t>
  </si>
  <si>
    <t>Photocopier</t>
  </si>
  <si>
    <t>LCD</t>
  </si>
  <si>
    <t>Air Conditioners</t>
  </si>
  <si>
    <t>Generators</t>
  </si>
  <si>
    <t>Equipment</t>
  </si>
  <si>
    <t>Furniture</t>
  </si>
  <si>
    <t>Miscellaneous</t>
  </si>
  <si>
    <t>Drivers (8)</t>
  </si>
  <si>
    <t>Peon (4)</t>
  </si>
  <si>
    <t>Guards (4)</t>
  </si>
  <si>
    <t>Gardeners (2)</t>
  </si>
  <si>
    <t>Sweepers (2)</t>
  </si>
  <si>
    <t>Rent PMU</t>
  </si>
  <si>
    <t>Utilities</t>
  </si>
  <si>
    <t>Stationery and Supplies</t>
  </si>
  <si>
    <t>POL</t>
  </si>
  <si>
    <t>Vehicle O&amp;M costs</t>
  </si>
  <si>
    <t>Communication, postage, email, internet</t>
  </si>
  <si>
    <t>Seminars, Workshops, Meetings</t>
  </si>
  <si>
    <t>Office maintenance</t>
  </si>
  <si>
    <t>Rental Vehicles</t>
  </si>
  <si>
    <t>Air Tickets</t>
  </si>
  <si>
    <t>Drivers (20)</t>
  </si>
  <si>
    <t>Office Running Costs</t>
  </si>
  <si>
    <t>Rent RCU</t>
  </si>
  <si>
    <t>Nutrition Sensitive Commodity Chains Prioritization</t>
  </si>
  <si>
    <t>Accounts Officer</t>
  </si>
  <si>
    <t>Procurement Officer</t>
  </si>
  <si>
    <t>IT Officer</t>
  </si>
  <si>
    <t>Project Director</t>
  </si>
  <si>
    <t>M&amp;E Assistants (2)</t>
  </si>
  <si>
    <t>Regional Coordinator (5)</t>
  </si>
  <si>
    <t xml:space="preserve">Accountants (5) </t>
  </si>
  <si>
    <t>Office Assistant (5)</t>
  </si>
  <si>
    <t xml:space="preserve">Field Consultants </t>
  </si>
  <si>
    <t>Travelling and Daily Allowance</t>
  </si>
  <si>
    <t>Comments</t>
  </si>
  <si>
    <t>Sub-Total</t>
  </si>
  <si>
    <t>1. Agribusiness Development</t>
  </si>
  <si>
    <t>2. Skill Development &amp; Employment Promotion</t>
  </si>
  <si>
    <t>3. Project Management &amp; Policy Support</t>
  </si>
  <si>
    <t>Leveraging FOs Investment</t>
  </si>
  <si>
    <t>Leveraging Investment in FSC</t>
  </si>
  <si>
    <t>Strengthening Institutional Services</t>
  </si>
  <si>
    <t>D</t>
  </si>
  <si>
    <t>C</t>
  </si>
  <si>
    <t>E</t>
  </si>
  <si>
    <t>Regional M&amp;E Officer (4 Agribusiness 4 Employment  Total 8)</t>
  </si>
  <si>
    <t>Heaters</t>
  </si>
  <si>
    <t>Impact Evaluation and Project Completion Report</t>
  </si>
  <si>
    <t>Evlauation and Technical Sutdies</t>
  </si>
  <si>
    <t>Manager Agribusiness Development</t>
  </si>
  <si>
    <t>Managaer Skills and Employment</t>
  </si>
  <si>
    <t>Manager Finance</t>
  </si>
  <si>
    <t>Manager M&amp;E, KM and Communication</t>
  </si>
  <si>
    <t>Social Inclusion and Youth Employment Specialist</t>
  </si>
  <si>
    <t>Environment and Climate Change Specialist</t>
  </si>
  <si>
    <t>KM/Communication Specialists</t>
  </si>
  <si>
    <t>Accounts Assistant</t>
  </si>
  <si>
    <t>HR Associate</t>
  </si>
  <si>
    <t>Contract and Grants Associate</t>
  </si>
  <si>
    <t>Office Assistant (2)</t>
  </si>
  <si>
    <t>Peon (10)</t>
  </si>
  <si>
    <t>Guards (10)</t>
  </si>
  <si>
    <t>Sweepers (5)</t>
  </si>
  <si>
    <t>Audit/Budget Officer</t>
  </si>
  <si>
    <t>Business Development Officer</t>
  </si>
  <si>
    <t>TOTAL</t>
  </si>
  <si>
    <t>S.NO</t>
  </si>
  <si>
    <t>ACTIVITY</t>
  </si>
  <si>
    <t>i</t>
  </si>
  <si>
    <t>REMARKS</t>
  </si>
  <si>
    <t>Project Management Unit</t>
  </si>
  <si>
    <t>IFAD Share 46 percent and GoKP Share 42 &amp; Beneficiary Share 12 percent</t>
  </si>
  <si>
    <t>IFAD Share 70 percent and GoKP Share 30 percent</t>
  </si>
  <si>
    <t>Support Staff (PMU)</t>
  </si>
  <si>
    <t>Office Running Costs (PMU)</t>
  </si>
  <si>
    <t>Benef./ Private Sector</t>
  </si>
  <si>
    <t>KHYBER PAKHTUNKHWA RURAL ECONOMIC TRANSFORMISSION PROJECT (KP-RETP)</t>
  </si>
  <si>
    <t xml:space="preserve">PLANNING &amp; DEVELOPMENT DEPARTMENT </t>
  </si>
  <si>
    <t xml:space="preserve">SUMMARY </t>
  </si>
  <si>
    <t xml:space="preserve">Total Project Cost </t>
  </si>
  <si>
    <t>PKR</t>
  </si>
  <si>
    <t>(In Million)</t>
  </si>
  <si>
    <t>USD</t>
  </si>
  <si>
    <t xml:space="preserve">Financial Ratio </t>
  </si>
  <si>
    <t>GoKP</t>
  </si>
  <si>
    <t>Annual Expenditure (2023-24)</t>
  </si>
  <si>
    <t>Progressive Expenditure</t>
  </si>
  <si>
    <t>(Rs.in Million)</t>
  </si>
  <si>
    <t xml:space="preserve">IFAD </t>
  </si>
  <si>
    <t xml:space="preserve">GoKP </t>
  </si>
  <si>
    <t xml:space="preserve">1. AGRIBUSINESS DEVELOPMENT </t>
  </si>
  <si>
    <t>Approved PC-1</t>
  </si>
  <si>
    <t xml:space="preserve">Physical Targets </t>
  </si>
  <si>
    <t xml:space="preserve">Unit Cost </t>
  </si>
  <si>
    <t>Total Project Cost 
(as per PC-1)</t>
  </si>
  <si>
    <t xml:space="preserve">Planned Physical
(2023-24) </t>
  </si>
  <si>
    <t>INVESTMENT COST</t>
  </si>
  <si>
    <t>I</t>
  </si>
  <si>
    <t>Professional Farmers Organisations (PFOs) Development</t>
  </si>
  <si>
    <t>Mobilisation and Registration of FOs /a</t>
  </si>
  <si>
    <t>Business Development Planning</t>
  </si>
  <si>
    <t xml:space="preserve">Sub Total </t>
  </si>
  <si>
    <t>Strengthening Public-Private Partnerships</t>
  </si>
  <si>
    <t>Mobilisation and Match Making /b</t>
  </si>
  <si>
    <t>Leveraging Private Sector Investment /c</t>
  </si>
  <si>
    <t>Farm Services Companies</t>
  </si>
  <si>
    <t xml:space="preserve">Mobilisation and Registration </t>
  </si>
  <si>
    <t>Policy Reforms /d</t>
  </si>
  <si>
    <t>Agriculture/Livestock Research Support Services /e</t>
  </si>
  <si>
    <t>Agribusiness Mobilization Partner /f</t>
  </si>
  <si>
    <t>2. SKILLS DEVELOPMENT AND EMPLOYMENT PROMOTION</t>
  </si>
  <si>
    <t xml:space="preserve">DETAILED COST </t>
  </si>
  <si>
    <t>Vocational and Entrepreneurship Training</t>
  </si>
  <si>
    <t>Engagement for Job Placement /e</t>
  </si>
  <si>
    <t xml:space="preserve"> Institutional strengthening for skills /g</t>
  </si>
  <si>
    <t>Technical assistance for skills development /h</t>
  </si>
  <si>
    <t xml:space="preserve">Grand Total </t>
  </si>
  <si>
    <t xml:space="preserve">Vehicles - Sedan Car </t>
  </si>
  <si>
    <t xml:space="preserve">Baseline studies </t>
  </si>
  <si>
    <t>Knowledge Management and Communication /a</t>
  </si>
  <si>
    <t>Overhead Projector</t>
  </si>
  <si>
    <t xml:space="preserve">Vehicles </t>
  </si>
  <si>
    <t xml:space="preserve">Vehicles - Sedan Cars </t>
  </si>
  <si>
    <t>II</t>
  </si>
  <si>
    <t>RECURRENT COST</t>
  </si>
  <si>
    <t>Project Management Staff</t>
  </si>
  <si>
    <t>Agribusiness Policy Specialists/ Consultants</t>
  </si>
  <si>
    <t>Institutional Development Specialsits/ Consultants</t>
  </si>
  <si>
    <t>Labour Market Specialist(s)</t>
  </si>
  <si>
    <t>Skill Development Specilist(s)</t>
  </si>
  <si>
    <t>Employment Policy Specialsit(s)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</si>
  <si>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</si>
  <si>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</si>
  <si>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</si>
  <si>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</si>
  <si>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</si>
  <si>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</si>
  <si>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</si>
  <si>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</si>
  <si>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</si>
  <si>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</si>
  <si>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</si>
  <si>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</si>
  <si>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</si>
  <si>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</si>
  <si>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</si>
  <si>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</si>
  <si>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</si>
  <si>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</si>
  <si>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</si>
  <si>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Administration Assistant</t>
  </si>
  <si>
    <t>Seminars, Workshops &amp; Meetings</t>
  </si>
  <si>
    <t>Travel Cost</t>
  </si>
  <si>
    <t xml:space="preserve">TA/DA (day) </t>
  </si>
  <si>
    <t>Regional Coordination Office Staff</t>
  </si>
  <si>
    <t xml:space="preserve">Support Staff </t>
  </si>
  <si>
    <t>6% annual increased as per PC-1
(70% IFAD &amp; 30% Beneficiary)</t>
  </si>
  <si>
    <t>6% annual increased as per PC-1
(50% IFAD &amp; 
50% Beneficiary)</t>
  </si>
  <si>
    <t>5% annual increased as per PC-1
(70% IFAD &amp; 30% Beneficiary)</t>
  </si>
  <si>
    <t xml:space="preserve">Vocational/Technical&amp; Enterpreneurship Training </t>
  </si>
  <si>
    <t xml:space="preserve">Unit </t>
  </si>
  <si>
    <t>Trainee</t>
  </si>
  <si>
    <t xml:space="preserve">Youth </t>
  </si>
  <si>
    <t>lumsum</t>
  </si>
  <si>
    <t xml:space="preserve">Placement </t>
  </si>
  <si>
    <t>Study</t>
  </si>
  <si>
    <t>TNA</t>
  </si>
  <si>
    <t xml:space="preserve">Event </t>
  </si>
  <si>
    <t>IFAD = 85%
GoKP = 15%</t>
  </si>
  <si>
    <t>IFAD = 42%
GoKP = 58%</t>
  </si>
  <si>
    <t>IFAD = 50%
GoKP = 50%</t>
  </si>
  <si>
    <t>IFAD = 70%
GoKP = 30%</t>
  </si>
  <si>
    <t>IFAD Share 77 percent and GoKP Share 23 percent</t>
  </si>
  <si>
    <t>Sub Total (A)</t>
  </si>
  <si>
    <t>Sub Total (B)</t>
  </si>
  <si>
    <t>Total Investment Cost  (A+B)</t>
  </si>
  <si>
    <t>Project Coodinator</t>
  </si>
  <si>
    <t>IFAD Share 100%</t>
  </si>
  <si>
    <t xml:space="preserve">IFAD Share 70% 
GoKP Share 30% </t>
  </si>
  <si>
    <t xml:space="preserve">IFAD Share 77% 
GoKP Share 23% </t>
  </si>
  <si>
    <t>Total Recurrent Cost (A+B)</t>
  </si>
  <si>
    <t xml:space="preserve">G. TOTAL (Project Management Unit Cost) (Investment + Recurrent) </t>
  </si>
  <si>
    <t>Start-up Capital for Self-Employment</t>
  </si>
  <si>
    <t xml:space="preserve">Job Market Integration/Internship </t>
  </si>
  <si>
    <t xml:space="preserve">Institutional support services </t>
  </si>
  <si>
    <t xml:space="preserve">Institutional Strengthening </t>
  </si>
  <si>
    <t>A)   Project Management Unit (PMU)</t>
  </si>
  <si>
    <t>B)   Regional Coordination Units (RCU's)</t>
  </si>
  <si>
    <t xml:space="preserve">Un-allocated </t>
  </si>
  <si>
    <t>2023-24</t>
  </si>
  <si>
    <t>2024-25</t>
  </si>
  <si>
    <t>Qtr 3</t>
  </si>
  <si>
    <t>Qtr 4</t>
  </si>
  <si>
    <t>Qtr 1</t>
  </si>
  <si>
    <t>Qtr 2</t>
  </si>
  <si>
    <t>Planned Physical</t>
  </si>
  <si>
    <t>Printers 3 in 1</t>
  </si>
  <si>
    <t>Power Generator/ Solar System</t>
  </si>
  <si>
    <t>Overhead Projector/ multimedia</t>
  </si>
  <si>
    <t>Refrigerator &amp; Water Dispensor</t>
  </si>
  <si>
    <t>Conference Room equipment and Furniture</t>
  </si>
  <si>
    <t>LCD/LED</t>
  </si>
  <si>
    <t>Telephone Exchange</t>
  </si>
  <si>
    <t>Generators/ solar systems</t>
  </si>
  <si>
    <t>Furniture &amp; Fixture</t>
  </si>
  <si>
    <t>Manager Skills and Employment</t>
  </si>
  <si>
    <t>Manager Procurement</t>
  </si>
  <si>
    <t>Manager Gender/Nutrition/Environment &amp; Climate Change</t>
  </si>
  <si>
    <t>Knowledge Management/Communication Officer</t>
  </si>
  <si>
    <t>M&amp;E Officer (2)</t>
  </si>
  <si>
    <t>Contract Management Officer</t>
  </si>
  <si>
    <t>Institutional Development Officer</t>
  </si>
  <si>
    <t>Admin &amp; HR Officer</t>
  </si>
  <si>
    <t>Labour Market Specialist(s)/Consultant</t>
  </si>
  <si>
    <t>Skill Development Specilist(s)/Consultant</t>
  </si>
  <si>
    <t>Employment Policy Specialsit(s)/ Consultant</t>
  </si>
  <si>
    <t>Budget &amp; Finance Officer</t>
  </si>
  <si>
    <t>u</t>
  </si>
  <si>
    <t>v</t>
  </si>
  <si>
    <t>Accounts Assistant (3)</t>
  </si>
  <si>
    <t>Admin Assistant</t>
  </si>
  <si>
    <t>Regional M&amp;E Officer (5)</t>
  </si>
  <si>
    <t>Agribusiness/Public Private Producers Partnership (4P) Officer (5)</t>
  </si>
  <si>
    <t>Gender &amp; youth mainstreaming Officer</t>
  </si>
  <si>
    <t xml:space="preserve">Budget/Finance Coordinator (5) </t>
  </si>
  <si>
    <t>Manager Finance &amp; Administration</t>
  </si>
  <si>
    <t>Rent RCU (4)</t>
  </si>
  <si>
    <t>Utilities (4)</t>
  </si>
  <si>
    <t>Stationery and Supplies (4)</t>
  </si>
  <si>
    <t>POL (4)</t>
  </si>
  <si>
    <t>Planned Cost (2023-24 &amp; 2024-25)</t>
  </si>
  <si>
    <t>CAPITAL COST</t>
  </si>
  <si>
    <t>ESTABLISHMENT RECURING COST</t>
  </si>
  <si>
    <t xml:space="preserve">Planned Physical
 </t>
  </si>
  <si>
    <t>ANNUAL WORK PLAN / BUDGET FOR FY 2023-24 &amp; 2024-25</t>
  </si>
  <si>
    <t>3. PROJECT MANAGEMENT UNIT</t>
  </si>
  <si>
    <t>DRAFT ANNUAL WORK PLAN / BUDGET FOR FY 2023-24 &amp; 2024-25</t>
  </si>
  <si>
    <t>Sothern Agribusiness Cluster</t>
  </si>
  <si>
    <t>Northern Agribusiness Cluster</t>
  </si>
  <si>
    <t>Central Agribusiness Cluster</t>
  </si>
  <si>
    <t>Eastern Agribusiness Cluster</t>
  </si>
  <si>
    <t>Chitral Agribusiness Cluster</t>
  </si>
  <si>
    <t>Job Market Study and Outlook /i</t>
  </si>
  <si>
    <t>Training Need Assessment of Instructors /j</t>
  </si>
  <si>
    <t>Training of Instructors /k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</si>
</sst>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00"/>
    <numFmt numFmtId="168" formatCode="_(* #,##0.0_);_(* \(#,##0.0\);_(* &quot;-&quot;??_);_(@_)"/>
  </numFmts>
  <fonts count="17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5B05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6" fillId="0" borderId="0"/>
    <xf numFmtId="0" fontId="10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</cellStyleXfs>
  <cellXfs count="276">
    <xf numFmtId="0" fontId="0" fillId="0" borderId="0" xfId="0"/>
    <xf numFmtId="0" fontId="11" fillId="0" borderId="0" xfId="0" applyFont="1"/>
    <xf numFmtId="0" fontId="12" fillId="0" borderId="1" xfId="0" applyFont="1" applyBorder="1"/>
    <xf numFmtId="0" fontId="11" fillId="0" borderId="1" xfId="0" applyFont="1" applyBorder="1"/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4" fontId="11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0" fillId="0" borderId="0" xfId="0" applyAlignment="1">
      <alignment vertical="center"/>
    </xf>
    <xf numFmtId="0" fontId="11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8" fillId="0" borderId="0" xfId="0" applyFont="1" applyAlignment="1">
      <alignment vertical="top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0" xfId="0" applyFont="1"/>
    <xf numFmtId="0" fontId="9" fillId="0" borderId="18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top"/>
    </xf>
    <xf numFmtId="0" fontId="2" fillId="4" borderId="32" xfId="0" applyFont="1" applyFill="1" applyBorder="1" applyAlignment="1">
      <alignment vertical="top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2" fillId="0" borderId="0" xfId="0" applyFont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18" xfId="0" applyFont="1" applyBorder="1"/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2" fillId="0" borderId="34" xfId="0" applyFont="1" applyBorder="1"/>
    <xf numFmtId="0" fontId="8" fillId="0" borderId="34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top"/>
    </xf>
    <xf numFmtId="0" fontId="2" fillId="0" borderId="34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4" borderId="19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wrapText="1"/>
    </xf>
    <xf numFmtId="3" fontId="2" fillId="4" borderId="20" xfId="0" applyNumberFormat="1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0" fontId="9" fillId="0" borderId="26" xfId="0" applyFont="1" applyBorder="1" applyAlignment="1">
      <alignment horizontal="center" vertical="center"/>
    </xf>
    <xf numFmtId="165" fontId="0" fillId="0" borderId="0" xfId="1" applyNumberFormat="1" applyFont="1"/>
    <xf numFmtId="164" fontId="0" fillId="0" borderId="0" xfId="1" applyFont="1"/>
    <xf numFmtId="164" fontId="0" fillId="0" borderId="0" xfId="0" applyNumberFormat="1"/>
    <xf numFmtId="9" fontId="0" fillId="0" borderId="0" xfId="9" applyFont="1"/>
    <xf numFmtId="164" fontId="2" fillId="0" borderId="1" xfId="1" applyFont="1" applyBorder="1" applyAlignment="1">
      <alignment vertical="top"/>
    </xf>
    <xf numFmtId="165" fontId="2" fillId="0" borderId="1" xfId="1" applyNumberFormat="1" applyFont="1" applyBorder="1" applyAlignment="1">
      <alignment vertical="top"/>
    </xf>
    <xf numFmtId="164" fontId="2" fillId="0" borderId="1" xfId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vertical="center"/>
    </xf>
    <xf numFmtId="164" fontId="2" fillId="0" borderId="1" xfId="1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 wrapText="1"/>
    </xf>
    <xf numFmtId="164" fontId="0" fillId="3" borderId="0" xfId="0" applyNumberFormat="1" applyFill="1"/>
    <xf numFmtId="166" fontId="8" fillId="0" borderId="1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/>
    </xf>
    <xf numFmtId="166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/>
    </xf>
    <xf numFmtId="0" fontId="2" fillId="4" borderId="18" xfId="0" applyFont="1" applyFill="1" applyBorder="1" applyAlignment="1">
      <alignment vertical="top"/>
    </xf>
    <xf numFmtId="0" fontId="8" fillId="4" borderId="6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left" vertical="center"/>
    </xf>
    <xf numFmtId="0" fontId="8" fillId="4" borderId="2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166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vertical="top"/>
    </xf>
    <xf numFmtId="0" fontId="15" fillId="4" borderId="18" xfId="0" applyFont="1" applyFill="1" applyBorder="1" applyAlignment="1">
      <alignment vertical="top"/>
    </xf>
    <xf numFmtId="0" fontId="15" fillId="0" borderId="18" xfId="0" applyFont="1" applyBorder="1" applyAlignment="1">
      <alignment vertical="top"/>
    </xf>
    <xf numFmtId="0" fontId="15" fillId="0" borderId="18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vertical="top" wrapText="1"/>
    </xf>
    <xf numFmtId="165" fontId="0" fillId="0" borderId="0" xfId="0" applyNumberFormat="1"/>
    <xf numFmtId="0" fontId="8" fillId="4" borderId="6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center" vertical="center" wrapText="1"/>
    </xf>
    <xf numFmtId="164" fontId="8" fillId="4" borderId="1" xfId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vertical="top"/>
    </xf>
    <xf numFmtId="166" fontId="8" fillId="4" borderId="8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8" fillId="4" borderId="1" xfId="0" applyNumberFormat="1" applyFont="1" applyFill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165" fontId="8" fillId="4" borderId="1" xfId="1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wrapText="1"/>
    </xf>
    <xf numFmtId="165" fontId="8" fillId="3" borderId="1" xfId="1" applyNumberFormat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168" fontId="8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8" fontId="8" fillId="4" borderId="1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center"/>
    </xf>
    <xf numFmtId="168" fontId="8" fillId="3" borderId="1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/>
    </xf>
    <xf numFmtId="0" fontId="2" fillId="0" borderId="3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4" borderId="37" xfId="0" applyFont="1" applyFill="1" applyBorder="1" applyAlignment="1">
      <alignment vertical="center" wrapText="1"/>
    </xf>
    <xf numFmtId="168" fontId="8" fillId="4" borderId="1" xfId="1" applyNumberFormat="1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/>
    </xf>
    <xf numFmtId="0" fontId="8" fillId="4" borderId="17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vertical="top"/>
    </xf>
    <xf numFmtId="0" fontId="11" fillId="0" borderId="2" xfId="0" applyFont="1" applyBorder="1"/>
    <xf numFmtId="0" fontId="11" fillId="0" borderId="5" xfId="0" applyFont="1" applyBorder="1"/>
    <xf numFmtId="0" fontId="11" fillId="0" borderId="6" xfId="0" applyFont="1" applyBorder="1"/>
    <xf numFmtId="164" fontId="11" fillId="0" borderId="0" xfId="1" applyFont="1"/>
    <xf numFmtId="164" fontId="12" fillId="0" borderId="0" xfId="0" applyNumberFormat="1" applyFont="1"/>
    <xf numFmtId="0" fontId="15" fillId="0" borderId="35" xfId="0" applyFont="1" applyBorder="1" applyAlignment="1">
      <alignment horizontal="left" vertical="top" wrapText="1"/>
    </xf>
    <xf numFmtId="165" fontId="0" fillId="2" borderId="0" xfId="1" applyNumberFormat="1" applyFont="1" applyFill="1"/>
    <xf numFmtId="164" fontId="0" fillId="2" borderId="0" xfId="1" applyFont="1" applyFill="1"/>
    <xf numFmtId="164" fontId="0" fillId="2" borderId="0" xfId="0" applyNumberFormat="1" applyFill="1"/>
    <xf numFmtId="0" fontId="0" fillId="2" borderId="0" xfId="0" applyFill="1"/>
    <xf numFmtId="0" fontId="2" fillId="2" borderId="0" xfId="0" applyFont="1" applyFill="1"/>
    <xf numFmtId="164" fontId="11" fillId="2" borderId="1" xfId="1" applyFont="1" applyFill="1" applyBorder="1"/>
    <xf numFmtId="165" fontId="11" fillId="2" borderId="1" xfId="1" applyNumberFormat="1" applyFont="1" applyFill="1" applyBorder="1"/>
    <xf numFmtId="9" fontId="11" fillId="2" borderId="1" xfId="9" applyFont="1" applyFill="1" applyBorder="1"/>
    <xf numFmtId="0" fontId="11" fillId="2" borderId="1" xfId="0" applyFont="1" applyFill="1" applyBorder="1"/>
    <xf numFmtId="164" fontId="12" fillId="2" borderId="1" xfId="1" applyFont="1" applyFill="1" applyBorder="1"/>
    <xf numFmtId="165" fontId="12" fillId="2" borderId="1" xfId="1" applyNumberFormat="1" applyFont="1" applyFill="1" applyBorder="1"/>
    <xf numFmtId="9" fontId="12" fillId="2" borderId="1" xfId="9" applyFont="1" applyFill="1" applyBorder="1"/>
    <xf numFmtId="0" fontId="12" fillId="2" borderId="1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1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166" fontId="2" fillId="5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49" fontId="16" fillId="0" borderId="1" xfId="0" applyNumberFormat="1" applyFont="1" applyBorder="1" applyAlignment="1">
      <alignment horizontal="left" wrapText="1"/>
    </xf>
    <xf numFmtId="168" fontId="2" fillId="5" borderId="1" xfId="1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/>
    <xf numFmtId="165" fontId="2" fillId="0" borderId="1" xfId="1" applyNumberFormat="1" applyFont="1" applyBorder="1" applyAlignment="1">
      <alignment horizontal="center" vertical="center" wrapText="1"/>
    </xf>
    <xf numFmtId="165" fontId="8" fillId="4" borderId="20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vertical="center"/>
    </xf>
    <xf numFmtId="165" fontId="2" fillId="0" borderId="1" xfId="1" applyNumberFormat="1" applyFont="1" applyBorder="1" applyAlignment="1">
      <alignment horizontal="center" vertical="center"/>
    </xf>
    <xf numFmtId="165" fontId="8" fillId="4" borderId="1" xfId="1" applyNumberFormat="1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vertical="center" wrapText="1"/>
    </xf>
    <xf numFmtId="0" fontId="0" fillId="0" borderId="0" xfId="0" applyFill="1"/>
    <xf numFmtId="166" fontId="2" fillId="6" borderId="1" xfId="1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8" fillId="4" borderId="14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8" fillId="4" borderId="2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</cellXfs>
  <cellStyles count="10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Percent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5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seem%20Khan/AppData/Local/Microsoft/Windows/INetCache/Content.Outlook/A37KIH5S/AWPB%20GLLSP-II%20(2021-22)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huonder/AppData/Local/Microsoft/Windows/INetCache/Content.Outlook/I6YHGJ76/RETP-KP%20Draft%20Procurement%20Pla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udget"/>
      <sheetName val="Budget Categories"/>
      <sheetName val="Community Development"/>
      <sheetName val="Fisheries VC Development"/>
      <sheetName val="PMU &amp; Policy Support"/>
    </sheetNames>
    <sheetDataSet>
      <sheetData sheetId="0" refreshError="1"/>
      <sheetData sheetId="1" refreshError="1"/>
      <sheetData sheetId="2" refreshError="1">
        <row r="19">
          <cell r="AB19">
            <v>0</v>
          </cell>
          <cell r="AD19">
            <v>0</v>
          </cell>
        </row>
        <row r="45">
          <cell r="AB45">
            <v>0</v>
          </cell>
          <cell r="AD45">
            <v>0</v>
          </cell>
        </row>
        <row r="49">
          <cell r="AD49">
            <v>0</v>
          </cell>
        </row>
        <row r="60">
          <cell r="AD60">
            <v>0</v>
          </cell>
        </row>
      </sheetData>
      <sheetData sheetId="3" refreshError="1">
        <row r="14">
          <cell r="AB14">
            <v>0</v>
          </cell>
          <cell r="AD14">
            <v>0</v>
          </cell>
        </row>
        <row r="19">
          <cell r="AB19">
            <v>0</v>
          </cell>
          <cell r="AD19">
            <v>0</v>
          </cell>
        </row>
        <row r="28">
          <cell r="AB28">
            <v>0</v>
          </cell>
          <cell r="AD28">
            <v>0</v>
          </cell>
        </row>
        <row r="45">
          <cell r="AB45">
            <v>0</v>
          </cell>
          <cell r="AD45">
            <v>0</v>
          </cell>
        </row>
        <row r="50">
          <cell r="AB50">
            <v>0</v>
          </cell>
          <cell r="AD50">
            <v>0</v>
          </cell>
        </row>
      </sheetData>
      <sheetData sheetId="4" refreshError="1">
        <row r="201">
          <cell r="AB201">
            <v>0</v>
          </cell>
          <cell r="AD201">
            <v>0</v>
          </cell>
        </row>
        <row r="203">
          <cell r="AB203">
            <v>0</v>
          </cell>
          <cell r="AD203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UMMARY"/>
      <sheetName val="GOODS"/>
      <sheetName val="WORKS"/>
      <sheetName val="CONSULTING"/>
      <sheetName val="Time Estimation"/>
    </sheetNames>
    <sheetDataSet>
      <sheetData sheetId="0" refreshError="1"/>
      <sheetData sheetId="1" refreshError="1"/>
      <sheetData sheetId="2" refreshError="1">
        <row r="43">
          <cell r="C43" t="str">
            <v>Air Conditioners (DC Inverter)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7" zoomScaleNormal="100" workbookViewId="0">
      <selection activeCell="O38" sqref="O38"/>
    </sheetView>
  </sheetViews>
  <sheetFormatPr defaultColWidth="9.109375" defaultRowHeight="10.199999999999999" x14ac:dyDescent="0.2"/>
  <cols>
    <col min="1" max="1" width="7.77734375" style="1" customWidth="1"/>
    <col min="2" max="2" width="41.33203125" style="1" bestFit="1" customWidth="1"/>
    <col min="3" max="3" width="11.6640625" style="1" customWidth="1"/>
    <col min="4" max="4" width="10.44140625" style="1" customWidth="1"/>
    <col min="5" max="5" width="9.44140625" style="1" customWidth="1"/>
    <col min="6" max="6" width="9.33203125" style="1" customWidth="1"/>
    <col min="7" max="7" width="8" style="1" customWidth="1"/>
    <col min="8" max="8" width="7.109375" style="1" customWidth="1"/>
    <col min="9" max="9" width="8.109375" style="1" customWidth="1"/>
    <col min="10" max="10" width="10.77734375" style="1" customWidth="1"/>
    <col min="11" max="11" width="3.44140625" style="1" bestFit="1" customWidth="1"/>
    <col min="12" max="12" width="9.44140625" style="1" customWidth="1"/>
    <col min="13" max="13" width="3.44140625" style="1" bestFit="1" customWidth="1"/>
    <col min="14" max="14" width="11.44140625" style="1" customWidth="1"/>
    <col min="15" max="15" width="20.33203125" style="1" customWidth="1"/>
    <col min="16" max="16" width="24" style="1" customWidth="1"/>
    <col min="17" max="256" width="11.44140625" style="1" customWidth="1"/>
    <col min="257" max="16384" width="9.109375" style="1"/>
  </cols>
  <sheetData>
    <row r="1" spans="1:16" ht="13.8" x14ac:dyDescent="0.25">
      <c r="A1" s="227" t="s">
        <v>101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</row>
    <row r="3" spans="1:16" ht="13.8" x14ac:dyDescent="0.25">
      <c r="A3" s="227" t="s">
        <v>102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1:16" ht="13.8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6" ht="13.8" x14ac:dyDescent="0.25">
      <c r="A5" s="227" t="s">
        <v>261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</row>
    <row r="6" spans="1:16" ht="13.8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6" ht="13.8" x14ac:dyDescent="0.25">
      <c r="A7" s="228" t="s">
        <v>103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</row>
    <row r="8" spans="1:16" x14ac:dyDescent="0.2">
      <c r="N8" s="23" t="s">
        <v>106</v>
      </c>
    </row>
    <row r="9" spans="1:16" ht="11.25" customHeight="1" x14ac:dyDescent="0.2">
      <c r="A9" s="229" t="s">
        <v>3</v>
      </c>
      <c r="B9" s="229" t="s">
        <v>2</v>
      </c>
      <c r="C9" s="223" t="s">
        <v>119</v>
      </c>
      <c r="D9" s="224"/>
      <c r="E9" s="223" t="s">
        <v>255</v>
      </c>
      <c r="F9" s="224"/>
      <c r="G9" s="220" t="s">
        <v>108</v>
      </c>
      <c r="H9" s="221"/>
      <c r="I9" s="222"/>
      <c r="J9" s="229" t="s">
        <v>110</v>
      </c>
      <c r="K9" s="229" t="s">
        <v>0</v>
      </c>
      <c r="L9" s="229" t="s">
        <v>111</v>
      </c>
      <c r="M9" s="229" t="s">
        <v>0</v>
      </c>
      <c r="N9" s="229" t="s">
        <v>59</v>
      </c>
    </row>
    <row r="10" spans="1:16" s="19" customFormat="1" ht="32.25" customHeight="1" x14ac:dyDescent="0.25">
      <c r="A10" s="230"/>
      <c r="B10" s="230"/>
      <c r="C10" s="225"/>
      <c r="D10" s="226"/>
      <c r="E10" s="225"/>
      <c r="F10" s="226"/>
      <c r="G10" s="21" t="s">
        <v>1</v>
      </c>
      <c r="H10" s="21" t="s">
        <v>109</v>
      </c>
      <c r="I10" s="21" t="s">
        <v>100</v>
      </c>
      <c r="J10" s="231"/>
      <c r="K10" s="230"/>
      <c r="L10" s="231"/>
      <c r="M10" s="230"/>
      <c r="N10" s="230"/>
    </row>
    <row r="11" spans="1:16" s="19" customFormat="1" x14ac:dyDescent="0.25">
      <c r="A11" s="231"/>
      <c r="B11" s="231"/>
      <c r="C11" s="22" t="s">
        <v>105</v>
      </c>
      <c r="D11" s="22" t="s">
        <v>107</v>
      </c>
      <c r="E11" s="22" t="s">
        <v>105</v>
      </c>
      <c r="F11" s="22" t="s">
        <v>107</v>
      </c>
      <c r="G11" s="22" t="s">
        <v>105</v>
      </c>
      <c r="H11" s="22" t="s">
        <v>105</v>
      </c>
      <c r="I11" s="22" t="s">
        <v>105</v>
      </c>
      <c r="J11" s="22" t="s">
        <v>105</v>
      </c>
      <c r="K11" s="231"/>
      <c r="L11" s="22" t="s">
        <v>105</v>
      </c>
      <c r="M11" s="231"/>
      <c r="N11" s="231"/>
    </row>
    <row r="12" spans="1:16" ht="16.5" customHeight="1" x14ac:dyDescent="0.2">
      <c r="A12" s="2" t="s">
        <v>61</v>
      </c>
      <c r="B12" s="3"/>
      <c r="C12" s="170"/>
      <c r="D12" s="171"/>
      <c r="E12" s="171"/>
      <c r="F12" s="171"/>
      <c r="G12" s="171"/>
      <c r="H12" s="171"/>
      <c r="I12" s="171"/>
      <c r="J12" s="171"/>
      <c r="K12" s="171"/>
      <c r="L12" s="171"/>
      <c r="M12" s="172"/>
      <c r="N12" s="3"/>
    </row>
    <row r="13" spans="1:16" x14ac:dyDescent="0.2">
      <c r="A13" s="5" t="s">
        <v>7</v>
      </c>
      <c r="B13" s="3" t="str">
        <f>'1. Agribusiness Development'!D11</f>
        <v>Professional Farmers Organisations (PFOs) Development</v>
      </c>
      <c r="C13" s="181">
        <f>'1. Agribusiness Development'!H20</f>
        <v>8667.8029800000004</v>
      </c>
      <c r="D13" s="181">
        <f>C13/170</f>
        <v>50.98707635294118</v>
      </c>
      <c r="E13" s="181">
        <f>G13+I13</f>
        <v>698.94809999999995</v>
      </c>
      <c r="F13" s="181">
        <f>E13/170</f>
        <v>4.1114594117647059</v>
      </c>
      <c r="G13" s="181">
        <f>'1. Agribusiness Development'!P20</f>
        <v>489.26366999999993</v>
      </c>
      <c r="H13" s="181">
        <v>0</v>
      </c>
      <c r="I13" s="181">
        <f>'1. Agribusiness Development'!R20</f>
        <v>209.68442999999999</v>
      </c>
      <c r="J13" s="182">
        <f>'[1]Community Development'!AB19</f>
        <v>0</v>
      </c>
      <c r="K13" s="183">
        <v>0</v>
      </c>
      <c r="L13" s="182">
        <f>'[1]Community Development'!AD19</f>
        <v>0</v>
      </c>
      <c r="M13" s="183">
        <v>0</v>
      </c>
      <c r="N13" s="184"/>
    </row>
    <row r="14" spans="1:16" x14ac:dyDescent="0.2">
      <c r="A14" s="5" t="s">
        <v>4</v>
      </c>
      <c r="B14" s="3" t="str">
        <f>'1. Agribusiness Development'!D21</f>
        <v>Strengthening Public-Private Partnerships</v>
      </c>
      <c r="C14" s="181">
        <f>'1. Agribusiness Development'!H25</f>
        <v>1402.45</v>
      </c>
      <c r="D14" s="181">
        <f>C14/170</f>
        <v>8.2497058823529414</v>
      </c>
      <c r="E14" s="181">
        <f>G14+I14</f>
        <v>69.031440000000003</v>
      </c>
      <c r="F14" s="181">
        <f>E14/170</f>
        <v>0.40606729411764708</v>
      </c>
      <c r="G14" s="181">
        <f>'1. Agribusiness Development'!P25</f>
        <v>34.515720000000002</v>
      </c>
      <c r="H14" s="182">
        <v>0</v>
      </c>
      <c r="I14" s="182">
        <f>'1. Agribusiness Development'!R25</f>
        <v>34.515720000000002</v>
      </c>
      <c r="J14" s="182">
        <f>'[1]Community Development'!AB45</f>
        <v>0</v>
      </c>
      <c r="K14" s="183">
        <v>0</v>
      </c>
      <c r="L14" s="182">
        <f>'[1]Community Development'!AD45</f>
        <v>0</v>
      </c>
      <c r="M14" s="183">
        <v>0</v>
      </c>
      <c r="N14" s="184"/>
    </row>
    <row r="15" spans="1:16" x14ac:dyDescent="0.2">
      <c r="A15" s="5" t="s">
        <v>68</v>
      </c>
      <c r="B15" s="3" t="str">
        <f>'1. Agribusiness Development'!D26</f>
        <v>Farm Services Companies</v>
      </c>
      <c r="C15" s="181">
        <f>'1. Agribusiness Development'!H31</f>
        <v>4501.665</v>
      </c>
      <c r="D15" s="181">
        <f>C15/170</f>
        <v>26.480382352941177</v>
      </c>
      <c r="E15" s="181">
        <f>'1. Agribusiness Development'!S31</f>
        <v>272.67228</v>
      </c>
      <c r="F15" s="181">
        <f>E15/170</f>
        <v>1.6039545882352941</v>
      </c>
      <c r="G15" s="181">
        <f>'1. Agribusiness Development'!P31</f>
        <v>136.33614</v>
      </c>
      <c r="H15" s="182">
        <v>0</v>
      </c>
      <c r="I15" s="182">
        <f>'1. Agribusiness Development'!R31</f>
        <v>136.33614</v>
      </c>
      <c r="J15" s="182">
        <v>0</v>
      </c>
      <c r="K15" s="183">
        <v>0</v>
      </c>
      <c r="L15" s="182">
        <f>'[1]Community Development'!AD49</f>
        <v>0</v>
      </c>
      <c r="M15" s="183">
        <v>0</v>
      </c>
      <c r="N15" s="184"/>
      <c r="O15" s="7"/>
      <c r="P15" s="173"/>
    </row>
    <row r="16" spans="1:16" x14ac:dyDescent="0.2">
      <c r="A16" s="5" t="s">
        <v>67</v>
      </c>
      <c r="B16" s="3" t="str">
        <f>'1. Agribusiness Development'!D32</f>
        <v>Strengthening Institutional Services</v>
      </c>
      <c r="C16" s="181">
        <f>'1. Agribusiness Development'!H35</f>
        <v>816.09900000000005</v>
      </c>
      <c r="D16" s="181">
        <f>C16/170</f>
        <v>4.8005823529411771</v>
      </c>
      <c r="E16" s="181">
        <f>'1. Agribusiness Development'!S35</f>
        <v>110.48698</v>
      </c>
      <c r="F16" s="181">
        <f>E16/170</f>
        <v>0.64992341176470592</v>
      </c>
      <c r="G16" s="181">
        <f>'1. Agribusiness Development'!P35</f>
        <v>77.340885999999998</v>
      </c>
      <c r="H16" s="182">
        <f>'1. Agribusiness Development'!Q35</f>
        <v>33.146093999999998</v>
      </c>
      <c r="I16" s="182">
        <f>'1. Agribusiness Development'!R35</f>
        <v>0</v>
      </c>
      <c r="J16" s="182">
        <v>0</v>
      </c>
      <c r="K16" s="183">
        <v>0</v>
      </c>
      <c r="L16" s="182">
        <f>'[1]Community Development'!AD60</f>
        <v>0</v>
      </c>
      <c r="M16" s="183">
        <v>0</v>
      </c>
      <c r="N16" s="184"/>
      <c r="O16" s="7"/>
    </row>
    <row r="17" spans="1:18" x14ac:dyDescent="0.2">
      <c r="A17" s="5" t="s">
        <v>69</v>
      </c>
      <c r="B17" s="3" t="str">
        <f>'1. Agribusiness Development'!D36</f>
        <v>Agribusiness Mobilization Partner /f</v>
      </c>
      <c r="C17" s="181">
        <f>'1. Agribusiness Development'!H37</f>
        <v>613.46600000000001</v>
      </c>
      <c r="D17" s="181">
        <f>C17/170</f>
        <v>3.6086235294117648</v>
      </c>
      <c r="E17" s="181">
        <f>'1. Agribusiness Development'!S37</f>
        <v>116.49082000000001</v>
      </c>
      <c r="F17" s="181">
        <f>E17/170</f>
        <v>0.68524011764705894</v>
      </c>
      <c r="G17" s="181">
        <f>'1. Agribusiness Development'!P37</f>
        <v>88.533023200000017</v>
      </c>
      <c r="H17" s="182">
        <f>'1. Agribusiness Development'!Q37</f>
        <v>27.957796800000001</v>
      </c>
      <c r="I17" s="182">
        <v>0</v>
      </c>
      <c r="J17" s="182"/>
      <c r="K17" s="183">
        <v>0</v>
      </c>
      <c r="L17" s="182"/>
      <c r="M17" s="183">
        <v>0</v>
      </c>
      <c r="N17" s="184"/>
    </row>
    <row r="18" spans="1:18" s="4" customFormat="1" x14ac:dyDescent="0.2">
      <c r="A18" s="218" t="s">
        <v>60</v>
      </c>
      <c r="B18" s="218"/>
      <c r="C18" s="185">
        <f>SUM(C13:C17)</f>
        <v>16001.482980000002</v>
      </c>
      <c r="D18" s="185">
        <f>SUM(D13:D17)</f>
        <v>94.126370470588242</v>
      </c>
      <c r="E18" s="185">
        <f>SUM(E13:E17)</f>
        <v>1267.6296199999999</v>
      </c>
      <c r="F18" s="185">
        <f t="shared" ref="F18:I18" si="0">SUM(F13:F17)</f>
        <v>7.4566448235294116</v>
      </c>
      <c r="G18" s="185">
        <f t="shared" si="0"/>
        <v>825.98943919999988</v>
      </c>
      <c r="H18" s="185">
        <f t="shared" si="0"/>
        <v>61.103890800000002</v>
      </c>
      <c r="I18" s="185">
        <f t="shared" si="0"/>
        <v>380.53629000000001</v>
      </c>
      <c r="J18" s="186">
        <f>SUM(J13:J17)</f>
        <v>0</v>
      </c>
      <c r="K18" s="187">
        <v>0</v>
      </c>
      <c r="L18" s="186">
        <f>SUM(L13:L17)</f>
        <v>0</v>
      </c>
      <c r="M18" s="187">
        <v>0</v>
      </c>
      <c r="N18" s="188"/>
      <c r="O18" s="174"/>
    </row>
    <row r="19" spans="1:18" ht="18" customHeight="1" x14ac:dyDescent="0.2">
      <c r="A19" s="2" t="s">
        <v>62</v>
      </c>
      <c r="B19" s="3"/>
      <c r="C19" s="189"/>
      <c r="D19" s="190"/>
      <c r="E19" s="190"/>
      <c r="F19" s="190"/>
      <c r="G19" s="190"/>
      <c r="H19" s="190"/>
      <c r="I19" s="190"/>
      <c r="J19" s="190"/>
      <c r="K19" s="190"/>
      <c r="L19" s="190"/>
      <c r="M19" s="191"/>
      <c r="N19" s="184"/>
    </row>
    <row r="20" spans="1:18" x14ac:dyDescent="0.2">
      <c r="A20" s="5" t="s">
        <v>7</v>
      </c>
      <c r="B20" s="14" t="str">
        <f>'2. Skill Development and Employ'!D11</f>
        <v>Vocational and Entrepreneurship Training</v>
      </c>
      <c r="C20" s="181">
        <f>'2. Skill Development and Employ'!I12</f>
        <v>3175.3980000000001</v>
      </c>
      <c r="D20" s="181">
        <f t="shared" ref="D20:D24" si="1">C20/170</f>
        <v>18.678811764705884</v>
      </c>
      <c r="E20" s="181">
        <f>'2. Skill Development and Employ'!T12</f>
        <v>31.036800000000003</v>
      </c>
      <c r="F20" s="181">
        <f t="shared" ref="F20:F24" si="2">E20/170</f>
        <v>0.1825694117647059</v>
      </c>
      <c r="G20" s="181">
        <f>'2. Skill Development and Employ'!Q12</f>
        <v>26.38128</v>
      </c>
      <c r="H20" s="181">
        <f>'2. Skill Development and Employ'!R12</f>
        <v>4.6555200000000001</v>
      </c>
      <c r="I20" s="181">
        <v>0</v>
      </c>
      <c r="J20" s="182">
        <f>'[1]Fisheries VC Development'!AB14</f>
        <v>0</v>
      </c>
      <c r="K20" s="183">
        <v>0</v>
      </c>
      <c r="L20" s="182">
        <f>'[1]Fisheries VC Development'!AD14</f>
        <v>0</v>
      </c>
      <c r="M20" s="183">
        <v>0</v>
      </c>
      <c r="N20" s="184"/>
    </row>
    <row r="21" spans="1:18" x14ac:dyDescent="0.2">
      <c r="A21" s="5" t="s">
        <v>4</v>
      </c>
      <c r="B21" s="3" t="str">
        <f>'2. Skill Development and Employ'!D13</f>
        <v>Start-up Capital for Self-Employment</v>
      </c>
      <c r="C21" s="181">
        <f>'2. Skill Development and Employ'!I13</f>
        <v>2191.8890000000001</v>
      </c>
      <c r="D21" s="181">
        <f t="shared" si="1"/>
        <v>12.893464705882353</v>
      </c>
      <c r="E21" s="181">
        <f>'2. Skill Development and Employ'!T13</f>
        <v>15.518400000000002</v>
      </c>
      <c r="F21" s="181">
        <f t="shared" ref="F21" si="3">E21/170</f>
        <v>9.1284705882352948E-2</v>
      </c>
      <c r="G21" s="181">
        <f>'2. Skill Development and Employ'!Q13</f>
        <v>6.517728</v>
      </c>
      <c r="H21" s="181">
        <f>'2. Skill Development and Employ'!R13</f>
        <v>9.0006719999999998</v>
      </c>
      <c r="I21" s="181">
        <v>0</v>
      </c>
      <c r="J21" s="182">
        <f>'[1]Fisheries VC Development'!AB19</f>
        <v>0</v>
      </c>
      <c r="K21" s="183">
        <v>0</v>
      </c>
      <c r="L21" s="182">
        <f>'[1]Fisheries VC Development'!AD19</f>
        <v>0</v>
      </c>
      <c r="M21" s="183">
        <v>0</v>
      </c>
      <c r="N21" s="184"/>
    </row>
    <row r="22" spans="1:18" x14ac:dyDescent="0.2">
      <c r="A22" s="5" t="s">
        <v>68</v>
      </c>
      <c r="B22" s="3" t="str">
        <f>'2. Skill Development and Employ'!D14</f>
        <v xml:space="preserve">Job Market Integration/Internship </v>
      </c>
      <c r="C22" s="181">
        <f>'2. Skill Development and Employ'!I14</f>
        <v>5250.1580000000004</v>
      </c>
      <c r="D22" s="181">
        <f t="shared" si="1"/>
        <v>30.88328235294118</v>
      </c>
      <c r="E22" s="181">
        <f>'2. Skill Development and Employ'!T14</f>
        <v>51.675000000000004</v>
      </c>
      <c r="F22" s="181">
        <f t="shared" si="2"/>
        <v>0.30397058823529416</v>
      </c>
      <c r="G22" s="181">
        <f>'2. Skill Development and Employ'!Q14</f>
        <v>25.837500000000002</v>
      </c>
      <c r="H22" s="181">
        <f>'2. Skill Development and Employ'!R14</f>
        <v>25.837500000000002</v>
      </c>
      <c r="I22" s="181">
        <v>0</v>
      </c>
      <c r="J22" s="182">
        <f>'[1]Fisheries VC Development'!AB28</f>
        <v>0</v>
      </c>
      <c r="K22" s="183">
        <v>0</v>
      </c>
      <c r="L22" s="182">
        <f>'[1]Fisheries VC Development'!AD28</f>
        <v>0</v>
      </c>
      <c r="M22" s="183">
        <v>0</v>
      </c>
      <c r="N22" s="184"/>
      <c r="O22" s="7"/>
      <c r="Q22" s="7"/>
    </row>
    <row r="23" spans="1:18" x14ac:dyDescent="0.2">
      <c r="A23" s="5" t="s">
        <v>67</v>
      </c>
      <c r="B23" s="3" t="str">
        <f>'2. Skill Development and Employ'!D15</f>
        <v xml:space="preserve">Institutional support services </v>
      </c>
      <c r="C23" s="181">
        <f>'2. Skill Development and Employ'!I16</f>
        <v>694.70100000000002</v>
      </c>
      <c r="D23" s="181">
        <f t="shared" si="1"/>
        <v>4.0864764705882353</v>
      </c>
      <c r="E23" s="181">
        <f>'2. Skill Development and Employ'!T16</f>
        <v>113.8527</v>
      </c>
      <c r="F23" s="181">
        <f t="shared" si="2"/>
        <v>0.66972176470588229</v>
      </c>
      <c r="G23" s="181">
        <f>'2. Skill Development and Employ'!Q16</f>
        <v>79.696889999999996</v>
      </c>
      <c r="H23" s="181">
        <f>'2. Skill Development and Employ'!R16</f>
        <v>34.155809999999995</v>
      </c>
      <c r="I23" s="181">
        <v>0</v>
      </c>
      <c r="J23" s="182">
        <f>'[1]Fisheries VC Development'!AB50-'[1]Fisheries VC Development'!AB45</f>
        <v>0</v>
      </c>
      <c r="K23" s="183">
        <v>0</v>
      </c>
      <c r="L23" s="182">
        <f>'[1]Fisheries VC Development'!AD50-'[1]Fisheries VC Development'!AD45</f>
        <v>0</v>
      </c>
      <c r="M23" s="183">
        <v>0</v>
      </c>
      <c r="N23" s="184"/>
    </row>
    <row r="24" spans="1:18" x14ac:dyDescent="0.2">
      <c r="A24" s="5" t="s">
        <v>69</v>
      </c>
      <c r="B24" s="3" t="str">
        <f>'2. Skill Development and Employ'!D19</f>
        <v xml:space="preserve">Institutional Strengthening </v>
      </c>
      <c r="C24" s="181">
        <f>'2. Skill Development and Employ'!I26</f>
        <v>134.554</v>
      </c>
      <c r="D24" s="181">
        <f t="shared" si="1"/>
        <v>0.79149411764705879</v>
      </c>
      <c r="E24" s="181">
        <f>'2. Skill Development and Employ'!T26</f>
        <v>37.810260000000007</v>
      </c>
      <c r="F24" s="181">
        <f t="shared" si="2"/>
        <v>0.2224132941176471</v>
      </c>
      <c r="G24" s="181">
        <f>'2. Skill Development and Employ'!Q26</f>
        <v>26.467182000000001</v>
      </c>
      <c r="H24" s="181">
        <f>'2. Skill Development and Employ'!R26</f>
        <v>11.343078</v>
      </c>
      <c r="I24" s="181">
        <v>0</v>
      </c>
      <c r="J24" s="182">
        <f>'[1]Fisheries VC Development'!AB45</f>
        <v>0</v>
      </c>
      <c r="K24" s="183">
        <v>0</v>
      </c>
      <c r="L24" s="182">
        <f>'[1]Fisheries VC Development'!AD45</f>
        <v>0</v>
      </c>
      <c r="M24" s="183">
        <v>0</v>
      </c>
      <c r="N24" s="184"/>
      <c r="O24" s="7"/>
    </row>
    <row r="25" spans="1:18" s="4" customFormat="1" x14ac:dyDescent="0.2">
      <c r="A25" s="218" t="s">
        <v>60</v>
      </c>
      <c r="B25" s="218"/>
      <c r="C25" s="185">
        <f t="shared" ref="C25:J25" si="4">SUM(C20:C24)</f>
        <v>11446.7</v>
      </c>
      <c r="D25" s="185">
        <f t="shared" si="4"/>
        <v>67.333529411764715</v>
      </c>
      <c r="E25" s="185">
        <f t="shared" si="4"/>
        <v>249.89315999999999</v>
      </c>
      <c r="F25" s="185">
        <f t="shared" si="4"/>
        <v>1.4699597647058824</v>
      </c>
      <c r="G25" s="185">
        <f t="shared" si="4"/>
        <v>164.90058000000002</v>
      </c>
      <c r="H25" s="185">
        <f t="shared" si="4"/>
        <v>84.992580000000004</v>
      </c>
      <c r="I25" s="186">
        <f t="shared" si="4"/>
        <v>0</v>
      </c>
      <c r="J25" s="186">
        <f t="shared" si="4"/>
        <v>0</v>
      </c>
      <c r="K25" s="187">
        <v>0</v>
      </c>
      <c r="L25" s="186">
        <f>SUM(L20:L24)</f>
        <v>0</v>
      </c>
      <c r="M25" s="187">
        <v>0</v>
      </c>
      <c r="N25" s="188"/>
      <c r="O25" s="174"/>
    </row>
    <row r="26" spans="1:18" ht="17.25" customHeight="1" x14ac:dyDescent="0.2">
      <c r="A26" s="2" t="s">
        <v>63</v>
      </c>
      <c r="B26" s="3"/>
      <c r="C26" s="189"/>
      <c r="D26" s="190"/>
      <c r="E26" s="190"/>
      <c r="F26" s="190"/>
      <c r="G26" s="190"/>
      <c r="H26" s="190"/>
      <c r="I26" s="190"/>
      <c r="J26" s="190"/>
      <c r="K26" s="190"/>
      <c r="L26" s="190"/>
      <c r="M26" s="191"/>
      <c r="N26" s="184"/>
    </row>
    <row r="27" spans="1:18" ht="17.25" customHeight="1" x14ac:dyDescent="0.2">
      <c r="A27" s="167" t="s">
        <v>122</v>
      </c>
      <c r="B27" s="2" t="s">
        <v>256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84"/>
    </row>
    <row r="28" spans="1:18" x14ac:dyDescent="0.2">
      <c r="A28" s="6"/>
      <c r="B28" s="3" t="s">
        <v>211</v>
      </c>
      <c r="C28" s="181">
        <f>'Proj Management (2)'!L29</f>
        <v>67.572999999999993</v>
      </c>
      <c r="D28" s="181">
        <f>C28/170</f>
        <v>0.39748823529411759</v>
      </c>
      <c r="E28" s="181">
        <f>G28+H28+I28</f>
        <v>125.73500000000001</v>
      </c>
      <c r="F28" s="181">
        <f>E28/170</f>
        <v>0.7396176470588236</v>
      </c>
      <c r="G28" s="181">
        <f>'3.Proj Management Unit'!O40</f>
        <v>94.072760000000002</v>
      </c>
      <c r="H28" s="181">
        <f>'3.Proj Management Unit'!P40</f>
        <v>30.600360000000002</v>
      </c>
      <c r="I28" s="181">
        <f>'Proj Management (2)'!K29</f>
        <v>1.0618799999999999</v>
      </c>
      <c r="J28" s="182">
        <f>'[1]PMU &amp; Policy Support'!AB203-'[1]PMU &amp; Policy Support'!AB201</f>
        <v>0</v>
      </c>
      <c r="K28" s="183">
        <v>0</v>
      </c>
      <c r="L28" s="182">
        <f>'[1]PMU &amp; Policy Support'!AD203-'[1]PMU &amp; Policy Support'!AD201</f>
        <v>0</v>
      </c>
      <c r="M28" s="183">
        <v>0</v>
      </c>
      <c r="N28" s="184"/>
    </row>
    <row r="29" spans="1:18" x14ac:dyDescent="0.2">
      <c r="A29" s="6"/>
      <c r="B29" s="3" t="s">
        <v>212</v>
      </c>
      <c r="C29" s="181">
        <f>'Proj Management (2)'!L48</f>
        <v>143.66199599999999</v>
      </c>
      <c r="D29" s="181">
        <f>C29/170</f>
        <v>0.84507056470588227</v>
      </c>
      <c r="E29" s="181">
        <f>G29+H29</f>
        <v>254.25</v>
      </c>
      <c r="F29" s="181">
        <f>E29/170</f>
        <v>1.4955882352941177</v>
      </c>
      <c r="G29" s="181">
        <f>'3.Proj Management Unit'!O60</f>
        <v>195.77250000000001</v>
      </c>
      <c r="H29" s="181">
        <f>'3.Proj Management Unit'!P60</f>
        <v>58.477499999999999</v>
      </c>
      <c r="I29" s="181">
        <f>'Proj Management (2)'!K30</f>
        <v>0</v>
      </c>
      <c r="J29" s="182">
        <f>'[1]PMU &amp; Policy Support'!AB201</f>
        <v>0</v>
      </c>
      <c r="K29" s="183">
        <v>0</v>
      </c>
      <c r="L29" s="182">
        <f>'[1]PMU &amp; Policy Support'!AD201</f>
        <v>0</v>
      </c>
      <c r="M29" s="183">
        <v>0</v>
      </c>
      <c r="N29" s="184"/>
      <c r="O29" s="7"/>
    </row>
    <row r="30" spans="1:18" x14ac:dyDescent="0.2">
      <c r="A30" s="167" t="s">
        <v>148</v>
      </c>
      <c r="B30" s="2" t="s">
        <v>257</v>
      </c>
      <c r="C30" s="181"/>
      <c r="D30" s="181"/>
      <c r="E30" s="181"/>
      <c r="F30" s="181"/>
      <c r="G30" s="181"/>
      <c r="H30" s="181"/>
      <c r="I30" s="181"/>
      <c r="J30" s="182"/>
      <c r="K30" s="182"/>
      <c r="L30" s="182"/>
      <c r="M30" s="182"/>
      <c r="N30" s="184"/>
    </row>
    <row r="31" spans="1:18" x14ac:dyDescent="0.2">
      <c r="A31" s="6"/>
      <c r="B31" s="3" t="s">
        <v>211</v>
      </c>
      <c r="C31" s="181">
        <f>'Proj Management (2)'!L100</f>
        <v>60.736450000000005</v>
      </c>
      <c r="D31" s="181">
        <f>C31/170</f>
        <v>0.3572732352941177</v>
      </c>
      <c r="E31" s="181">
        <f>G31+H31</f>
        <v>187.18890000000002</v>
      </c>
      <c r="F31" s="181">
        <f>E31/170</f>
        <v>1.1011111764705883</v>
      </c>
      <c r="G31" s="181">
        <f>'3.Proj Management Unit'!O112</f>
        <v>136.85961300000002</v>
      </c>
      <c r="H31" s="181">
        <f>'3.Proj Management Unit'!P112</f>
        <v>50.329287000000001</v>
      </c>
      <c r="I31" s="181">
        <f>'Proj Management (2)'!K100</f>
        <v>0</v>
      </c>
      <c r="J31" s="182"/>
      <c r="K31" s="183"/>
      <c r="L31" s="182"/>
      <c r="M31" s="183"/>
      <c r="N31" s="184"/>
    </row>
    <row r="32" spans="1:18" x14ac:dyDescent="0.2">
      <c r="A32" s="6"/>
      <c r="B32" s="3" t="s">
        <v>212</v>
      </c>
      <c r="C32" s="181">
        <f>'Proj Management (2)'!L126</f>
        <v>71.72999999999999</v>
      </c>
      <c r="D32" s="181">
        <f>C32/170</f>
        <v>0.42194117647058815</v>
      </c>
      <c r="E32" s="181">
        <f>G32+H32</f>
        <v>268.51</v>
      </c>
      <c r="F32" s="181">
        <f>E32/170</f>
        <v>1.579470588235294</v>
      </c>
      <c r="G32" s="181">
        <f>'3.Proj Management Unit'!O140</f>
        <v>210.4984</v>
      </c>
      <c r="H32" s="181">
        <f>'3.Proj Management Unit'!P140</f>
        <v>58.011600000000001</v>
      </c>
      <c r="I32" s="181">
        <f>'Proj Management (2)'!K126</f>
        <v>0</v>
      </c>
      <c r="J32" s="182"/>
      <c r="K32" s="183"/>
      <c r="L32" s="182"/>
      <c r="M32" s="183"/>
      <c r="N32" s="184"/>
      <c r="O32" s="7"/>
      <c r="P32" s="7"/>
      <c r="R32" s="7"/>
    </row>
    <row r="33" spans="1:15" x14ac:dyDescent="0.2">
      <c r="A33" s="167" t="s">
        <v>148</v>
      </c>
      <c r="B33" s="2" t="s">
        <v>213</v>
      </c>
      <c r="C33" s="181">
        <f>2190.35+283.52</f>
        <v>2473.87</v>
      </c>
      <c r="D33" s="181">
        <f>C33/170</f>
        <v>14.552176470588234</v>
      </c>
      <c r="E33" s="181"/>
      <c r="F33" s="181"/>
      <c r="G33" s="181"/>
      <c r="H33" s="181"/>
      <c r="I33" s="181"/>
      <c r="J33" s="182"/>
      <c r="K33" s="183"/>
      <c r="L33" s="182"/>
      <c r="M33" s="183"/>
      <c r="N33" s="184"/>
      <c r="O33" s="7"/>
    </row>
    <row r="34" spans="1:15" s="4" customFormat="1" x14ac:dyDescent="0.2">
      <c r="A34" s="218" t="s">
        <v>60</v>
      </c>
      <c r="B34" s="218"/>
      <c r="C34" s="185">
        <f>SUM(C28:C33)</f>
        <v>2817.5714459999999</v>
      </c>
      <c r="D34" s="185">
        <f>SUM(D28:D33)</f>
        <v>16.573949682352939</v>
      </c>
      <c r="E34" s="185">
        <f t="shared" ref="E34:I34" si="5">SUM(E28:E32)</f>
        <v>835.68389999999999</v>
      </c>
      <c r="F34" s="185">
        <f t="shared" si="5"/>
        <v>4.9157876470588242</v>
      </c>
      <c r="G34" s="185">
        <f t="shared" si="5"/>
        <v>637.20327300000008</v>
      </c>
      <c r="H34" s="185">
        <f t="shared" si="5"/>
        <v>197.418747</v>
      </c>
      <c r="I34" s="185">
        <f t="shared" si="5"/>
        <v>1.0618799999999999</v>
      </c>
      <c r="J34" s="186">
        <f>SUM(J28:J29)</f>
        <v>0</v>
      </c>
      <c r="K34" s="187">
        <v>0</v>
      </c>
      <c r="L34" s="186">
        <f>SUM(L28:L29)</f>
        <v>0</v>
      </c>
      <c r="M34" s="187">
        <v>0</v>
      </c>
      <c r="N34" s="188"/>
      <c r="O34" s="174"/>
    </row>
    <row r="35" spans="1:15" s="4" customFormat="1" x14ac:dyDescent="0.2">
      <c r="A35" s="219" t="s">
        <v>6</v>
      </c>
      <c r="B35" s="219"/>
      <c r="C35" s="185">
        <f t="shared" ref="C35:J35" si="6">C18+C25+C34</f>
        <v>30265.754426000007</v>
      </c>
      <c r="D35" s="185">
        <f t="shared" si="6"/>
        <v>178.03384956470589</v>
      </c>
      <c r="E35" s="185">
        <f t="shared" si="6"/>
        <v>2353.2066800000002</v>
      </c>
      <c r="F35" s="185">
        <f t="shared" si="6"/>
        <v>13.842392235294119</v>
      </c>
      <c r="G35" s="185">
        <f t="shared" si="6"/>
        <v>1628.0932922</v>
      </c>
      <c r="H35" s="185">
        <f t="shared" si="6"/>
        <v>343.51521780000002</v>
      </c>
      <c r="I35" s="185">
        <f t="shared" si="6"/>
        <v>381.59816999999998</v>
      </c>
      <c r="J35" s="186">
        <f t="shared" si="6"/>
        <v>0</v>
      </c>
      <c r="K35" s="187">
        <v>0</v>
      </c>
      <c r="L35" s="186">
        <f>L18+L25+L34</f>
        <v>0</v>
      </c>
      <c r="M35" s="187">
        <v>0</v>
      </c>
      <c r="N35" s="188"/>
    </row>
    <row r="36" spans="1:15" x14ac:dyDescent="0.2">
      <c r="E36" s="7"/>
      <c r="F36" s="7"/>
    </row>
    <row r="37" spans="1:15" x14ac:dyDescent="0.2">
      <c r="D37" s="7"/>
    </row>
    <row r="38" spans="1:15" x14ac:dyDescent="0.2">
      <c r="C38" s="7"/>
      <c r="D38" s="7"/>
      <c r="E38" s="7"/>
      <c r="F38" s="7"/>
      <c r="G38" s="7"/>
      <c r="H38" s="7"/>
      <c r="I38" s="7"/>
      <c r="J38" s="7"/>
      <c r="L38" s="7"/>
      <c r="O38" s="7"/>
    </row>
    <row r="39" spans="1:15" x14ac:dyDescent="0.2">
      <c r="C39" s="7"/>
      <c r="D39" s="7"/>
      <c r="E39" s="7"/>
      <c r="F39" s="7"/>
      <c r="G39" s="7"/>
      <c r="H39" s="7"/>
      <c r="I39" s="7"/>
    </row>
    <row r="41" spans="1:15" x14ac:dyDescent="0.2">
      <c r="C41" s="7"/>
      <c r="D41" s="7"/>
      <c r="E41" s="7"/>
      <c r="F41" s="7"/>
      <c r="G41" s="7"/>
      <c r="H41" s="7"/>
      <c r="I41" s="7"/>
    </row>
  </sheetData>
  <mergeCells count="18">
    <mergeCell ref="A1:N1"/>
    <mergeCell ref="A3:N3"/>
    <mergeCell ref="A5:N5"/>
    <mergeCell ref="A7:N7"/>
    <mergeCell ref="A9:A11"/>
    <mergeCell ref="B9:B11"/>
    <mergeCell ref="J9:J10"/>
    <mergeCell ref="L9:L10"/>
    <mergeCell ref="N9:N11"/>
    <mergeCell ref="C9:D10"/>
    <mergeCell ref="K9:K11"/>
    <mergeCell ref="M9:M11"/>
    <mergeCell ref="A34:B34"/>
    <mergeCell ref="A35:B35"/>
    <mergeCell ref="G9:I9"/>
    <mergeCell ref="A18:B18"/>
    <mergeCell ref="A25:B25"/>
    <mergeCell ref="E9:F10"/>
  </mergeCells>
  <pageMargins left="0.27" right="0.24" top="0.74803149606299202" bottom="0.74803149606299202" header="0.31496062992126" footer="0.31496062992126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41"/>
  <sheetViews>
    <sheetView view="pageBreakPreview" topLeftCell="A12" zoomScale="109" zoomScaleNormal="80" zoomScaleSheetLayoutView="80" workbookViewId="0">
      <selection activeCell="H41" sqref="H41"/>
    </sheetView>
  </sheetViews>
  <sheetFormatPr defaultColWidth="8.77734375" defaultRowHeight="13.2" x14ac:dyDescent="0.25"/>
  <cols>
    <col min="1" max="1" width="2.109375" customWidth="1"/>
    <col min="2" max="2" width="5.77734375" customWidth="1"/>
    <col min="3" max="3" width="3.44140625" customWidth="1"/>
    <col min="4" max="4" width="4.44140625" customWidth="1"/>
    <col min="5" max="5" width="48.109375" customWidth="1"/>
    <col min="6" max="6" width="9.6640625" style="9" customWidth="1"/>
    <col min="7" max="7" width="12.44140625" style="9" customWidth="1"/>
    <col min="8" max="8" width="15.109375" style="9" customWidth="1"/>
    <col min="9" max="10" width="5.44140625" style="9" customWidth="1"/>
    <col min="11" max="12" width="5.33203125" style="9" customWidth="1"/>
    <col min="13" max="13" width="5.6640625" style="9" customWidth="1"/>
    <col min="14" max="14" width="6" style="9" customWidth="1"/>
    <col min="15" max="15" width="8.33203125" style="9" customWidth="1"/>
    <col min="16" max="16" width="10.44140625" style="9" customWidth="1"/>
    <col min="17" max="17" width="11" style="9" bestFit="1" customWidth="1"/>
    <col min="18" max="18" width="14.44140625" style="9" customWidth="1"/>
    <col min="19" max="19" width="11" style="9" bestFit="1" customWidth="1"/>
    <col min="20" max="20" width="19.44140625" style="9" customWidth="1"/>
    <col min="21" max="29" width="11.44140625" customWidth="1"/>
    <col min="30" max="30" width="13.44140625" bestFit="1" customWidth="1"/>
    <col min="31" max="35" width="13.77734375" bestFit="1" customWidth="1"/>
    <col min="36" max="36" width="12.33203125" bestFit="1" customWidth="1"/>
    <col min="37" max="37" width="11.33203125" bestFit="1" customWidth="1"/>
    <col min="38" max="38" width="15.109375" bestFit="1" customWidth="1"/>
    <col min="39" max="264" width="11.44140625" customWidth="1"/>
  </cols>
  <sheetData>
    <row r="1" spans="2:39" ht="13.8" x14ac:dyDescent="0.25">
      <c r="B1" s="227" t="s">
        <v>101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31"/>
      <c r="V1" s="31"/>
      <c r="W1" s="31"/>
    </row>
    <row r="3" spans="2:39" ht="12.75" customHeight="1" x14ac:dyDescent="0.25">
      <c r="B3" s="227" t="s">
        <v>102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</row>
    <row r="4" spans="2:39" ht="13.8" x14ac:dyDescent="0.25">
      <c r="B4" s="227" t="s">
        <v>259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</row>
    <row r="5" spans="2:39" ht="13.8" x14ac:dyDescent="0.25"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</row>
    <row r="6" spans="2:39" ht="13.8" x14ac:dyDescent="0.25">
      <c r="B6" s="227" t="s">
        <v>115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7" spans="2:39" ht="13.8" thickBot="1" x14ac:dyDescent="0.3">
      <c r="T7" s="24" t="s">
        <v>112</v>
      </c>
    </row>
    <row r="8" spans="2:39" s="13" customFormat="1" ht="13.5" customHeight="1" thickTop="1" thickBot="1" x14ac:dyDescent="0.3">
      <c r="B8" s="235" t="s">
        <v>91</v>
      </c>
      <c r="C8" s="243" t="s">
        <v>136</v>
      </c>
      <c r="D8" s="244"/>
      <c r="E8" s="245"/>
      <c r="F8" s="237" t="s">
        <v>116</v>
      </c>
      <c r="G8" s="238"/>
      <c r="H8" s="239"/>
      <c r="I8" s="250" t="s">
        <v>214</v>
      </c>
      <c r="J8" s="251"/>
      <c r="K8" s="252" t="s">
        <v>215</v>
      </c>
      <c r="L8" s="253"/>
      <c r="M8" s="253"/>
      <c r="N8" s="254"/>
      <c r="O8" s="239" t="s">
        <v>220</v>
      </c>
      <c r="P8" s="240" t="s">
        <v>108</v>
      </c>
      <c r="Q8" s="240"/>
      <c r="R8" s="240"/>
      <c r="S8" s="240"/>
      <c r="T8" s="241" t="s">
        <v>94</v>
      </c>
      <c r="V8" s="15"/>
      <c r="AE8" s="15"/>
    </row>
    <row r="9" spans="2:39" s="13" customFormat="1" ht="27" thickBot="1" x14ac:dyDescent="0.3">
      <c r="B9" s="236"/>
      <c r="C9" s="246"/>
      <c r="D9" s="247"/>
      <c r="E9" s="248"/>
      <c r="F9" s="25" t="s">
        <v>118</v>
      </c>
      <c r="G9" s="25" t="s">
        <v>117</v>
      </c>
      <c r="H9" s="194" t="s">
        <v>104</v>
      </c>
      <c r="I9" s="196" t="s">
        <v>216</v>
      </c>
      <c r="J9" s="198" t="s">
        <v>217</v>
      </c>
      <c r="K9" s="196" t="s">
        <v>218</v>
      </c>
      <c r="L9" s="197" t="s">
        <v>219</v>
      </c>
      <c r="M9" s="197" t="s">
        <v>216</v>
      </c>
      <c r="N9" s="198" t="s">
        <v>216</v>
      </c>
      <c r="O9" s="249"/>
      <c r="P9" s="25" t="s">
        <v>113</v>
      </c>
      <c r="Q9" s="25" t="s">
        <v>114</v>
      </c>
      <c r="R9" s="21" t="s">
        <v>100</v>
      </c>
      <c r="S9" s="34" t="s">
        <v>90</v>
      </c>
      <c r="T9" s="242"/>
      <c r="AC9" s="15"/>
      <c r="AD9" s="15"/>
      <c r="AL9" s="15"/>
      <c r="AM9" s="15"/>
    </row>
    <row r="10" spans="2:39" x14ac:dyDescent="0.25">
      <c r="B10" s="47" t="s">
        <v>122</v>
      </c>
      <c r="C10" s="18" t="s">
        <v>121</v>
      </c>
      <c r="D10" s="33"/>
      <c r="E10" s="33"/>
      <c r="F10" s="33"/>
      <c r="G10" s="33"/>
      <c r="H10" s="195"/>
      <c r="I10" s="195"/>
      <c r="J10" s="195"/>
      <c r="K10" s="195"/>
      <c r="L10" s="195"/>
      <c r="M10" s="195"/>
      <c r="N10" s="195"/>
      <c r="O10" s="26"/>
      <c r="P10" s="26"/>
      <c r="Q10" s="26"/>
      <c r="R10" s="26"/>
      <c r="S10" s="26"/>
      <c r="T10" s="27"/>
    </row>
    <row r="11" spans="2:39" x14ac:dyDescent="0.25">
      <c r="B11" s="48"/>
      <c r="C11" s="50" t="s">
        <v>7</v>
      </c>
      <c r="D11" s="18" t="s">
        <v>123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26"/>
      <c r="P11" s="26"/>
      <c r="Q11" s="26"/>
      <c r="R11" s="26"/>
      <c r="S11" s="26"/>
      <c r="T11" s="27"/>
    </row>
    <row r="12" spans="2:39" ht="19.95" customHeight="1" x14ac:dyDescent="0.25">
      <c r="B12" s="48"/>
      <c r="C12" s="51"/>
      <c r="D12" s="33">
        <v>1</v>
      </c>
      <c r="E12" s="29" t="s">
        <v>124</v>
      </c>
      <c r="F12" s="33"/>
      <c r="G12" s="16">
        <v>550</v>
      </c>
      <c r="H12" s="16"/>
      <c r="I12" s="16"/>
      <c r="J12" s="16"/>
      <c r="K12" s="16"/>
      <c r="L12" s="16"/>
      <c r="M12" s="16"/>
      <c r="N12" s="16"/>
      <c r="O12" s="96">
        <v>45</v>
      </c>
      <c r="P12" s="26"/>
      <c r="Q12" s="26"/>
      <c r="R12" s="26"/>
      <c r="S12" s="26"/>
      <c r="T12" s="27"/>
      <c r="AE12" s="94"/>
      <c r="AF12" s="94"/>
      <c r="AG12" s="94"/>
      <c r="AH12" s="94"/>
      <c r="AI12" s="94"/>
      <c r="AJ12" s="94"/>
      <c r="AK12" s="94"/>
      <c r="AL12" s="94"/>
    </row>
    <row r="13" spans="2:39" ht="19.95" customHeight="1" x14ac:dyDescent="0.25">
      <c r="B13" s="48"/>
      <c r="C13" s="51"/>
      <c r="D13" s="33">
        <v>2</v>
      </c>
      <c r="E13" s="29" t="s">
        <v>125</v>
      </c>
      <c r="F13" s="33"/>
      <c r="G13" s="16">
        <v>550</v>
      </c>
      <c r="H13" s="16"/>
      <c r="I13" s="16"/>
      <c r="J13" s="16"/>
      <c r="K13" s="16"/>
      <c r="L13" s="16"/>
      <c r="M13" s="16"/>
      <c r="N13" s="16"/>
      <c r="O13" s="96">
        <v>45</v>
      </c>
      <c r="P13" s="26"/>
      <c r="Q13" s="26"/>
      <c r="R13" s="26"/>
      <c r="S13" s="26"/>
      <c r="T13" s="27"/>
      <c r="AE13" s="93"/>
      <c r="AF13" s="93"/>
      <c r="AG13" s="93"/>
      <c r="AH13" s="93"/>
      <c r="AI13" s="93"/>
      <c r="AJ13" s="93"/>
      <c r="AK13" s="93"/>
      <c r="AL13" s="93"/>
    </row>
    <row r="14" spans="2:39" ht="19.95" customHeight="1" x14ac:dyDescent="0.25">
      <c r="B14" s="48"/>
      <c r="C14" s="51"/>
      <c r="D14" s="54">
        <v>3</v>
      </c>
      <c r="E14" s="29" t="s">
        <v>64</v>
      </c>
      <c r="F14" s="33"/>
      <c r="G14" s="33"/>
      <c r="H14" s="33"/>
      <c r="I14" s="33"/>
      <c r="J14" s="33"/>
      <c r="K14" s="33"/>
      <c r="L14" s="33"/>
      <c r="M14" s="33"/>
      <c r="N14" s="33"/>
      <c r="O14" s="26"/>
      <c r="P14" s="26"/>
      <c r="Q14" s="26"/>
      <c r="R14" s="26"/>
      <c r="S14" s="26"/>
      <c r="T14" s="27"/>
      <c r="AE14" s="60"/>
      <c r="AF14" s="60"/>
      <c r="AG14" s="60"/>
      <c r="AH14" s="60"/>
      <c r="AI14" s="60"/>
      <c r="AL14" s="91"/>
    </row>
    <row r="15" spans="2:39" ht="19.95" customHeight="1" x14ac:dyDescent="0.25">
      <c r="B15" s="48"/>
      <c r="C15" s="52"/>
      <c r="D15" s="52"/>
      <c r="E15" s="37" t="s">
        <v>262</v>
      </c>
      <c r="F15" s="17">
        <v>14.653</v>
      </c>
      <c r="G15" s="97">
        <v>150</v>
      </c>
      <c r="H15" s="17">
        <f>2368558.72/1000</f>
        <v>2368.55872</v>
      </c>
      <c r="I15" s="17"/>
      <c r="J15" s="17"/>
      <c r="K15" s="199"/>
      <c r="L15" s="199"/>
      <c r="M15" s="199"/>
      <c r="N15" s="199"/>
      <c r="O15" s="26">
        <v>10</v>
      </c>
      <c r="P15" s="95">
        <f>S15*0.7</f>
        <v>108.72525999999999</v>
      </c>
      <c r="Q15" s="95"/>
      <c r="R15" s="95">
        <f>S15*0.3</f>
        <v>46.596539999999997</v>
      </c>
      <c r="S15" s="95">
        <f>(O15*F15)*1.06</f>
        <v>155.3218</v>
      </c>
      <c r="T15" s="232" t="s">
        <v>181</v>
      </c>
      <c r="AD15" s="91"/>
      <c r="AE15" s="92"/>
      <c r="AF15" s="92"/>
      <c r="AG15" s="92"/>
      <c r="AH15" s="92"/>
      <c r="AI15" s="92"/>
      <c r="AJ15" s="92"/>
      <c r="AK15" s="92"/>
      <c r="AL15" s="91"/>
      <c r="AM15" s="93"/>
    </row>
    <row r="16" spans="2:39" ht="19.95" customHeight="1" x14ac:dyDescent="0.25">
      <c r="B16" s="48"/>
      <c r="C16" s="52"/>
      <c r="D16" s="52"/>
      <c r="E16" s="37" t="s">
        <v>263</v>
      </c>
      <c r="F16" s="17">
        <v>14.653</v>
      </c>
      <c r="G16" s="97">
        <v>125</v>
      </c>
      <c r="H16" s="17">
        <f>1968240.05/1000</f>
        <v>1968.2400500000001</v>
      </c>
      <c r="I16" s="17"/>
      <c r="J16" s="17"/>
      <c r="K16" s="199"/>
      <c r="L16" s="199"/>
      <c r="M16" s="199"/>
      <c r="N16" s="199"/>
      <c r="O16" s="26">
        <v>10</v>
      </c>
      <c r="P16" s="95">
        <f t="shared" ref="P16:P19" si="0">S16*0.7</f>
        <v>108.72525999999999</v>
      </c>
      <c r="Q16" s="95"/>
      <c r="R16" s="95">
        <f t="shared" ref="R16:R19" si="1">S16*0.3</f>
        <v>46.596539999999997</v>
      </c>
      <c r="S16" s="95">
        <f>(O16*F16)*1.06</f>
        <v>155.3218</v>
      </c>
      <c r="T16" s="234"/>
      <c r="AD16" s="91"/>
      <c r="AE16" s="92"/>
      <c r="AF16" s="92"/>
      <c r="AG16" s="92"/>
      <c r="AH16" s="92"/>
      <c r="AI16" s="92"/>
      <c r="AJ16" s="92"/>
      <c r="AK16" s="92"/>
      <c r="AL16" s="91"/>
      <c r="AM16" s="93"/>
    </row>
    <row r="17" spans="2:39" ht="19.95" customHeight="1" x14ac:dyDescent="0.25">
      <c r="B17" s="48"/>
      <c r="C17" s="52"/>
      <c r="D17" s="52"/>
      <c r="E17" s="37" t="s">
        <v>264</v>
      </c>
      <c r="F17" s="17">
        <v>14.653</v>
      </c>
      <c r="G17" s="97">
        <v>125</v>
      </c>
      <c r="H17" s="17">
        <f>1971222.24/1000</f>
        <v>1971.2222400000001</v>
      </c>
      <c r="I17" s="17"/>
      <c r="J17" s="17"/>
      <c r="K17" s="199"/>
      <c r="L17" s="199"/>
      <c r="M17" s="199"/>
      <c r="N17" s="199"/>
      <c r="O17" s="26">
        <v>10</v>
      </c>
      <c r="P17" s="95">
        <f t="shared" si="0"/>
        <v>108.72525999999999</v>
      </c>
      <c r="Q17" s="95"/>
      <c r="R17" s="95">
        <f t="shared" si="1"/>
        <v>46.596539999999997</v>
      </c>
      <c r="S17" s="95">
        <f>(O17*F17)*1.06</f>
        <v>155.3218</v>
      </c>
      <c r="T17" s="234"/>
      <c r="AD17" s="91"/>
      <c r="AE17" s="92"/>
      <c r="AF17" s="92"/>
      <c r="AG17" s="92"/>
      <c r="AH17" s="92"/>
      <c r="AI17" s="92"/>
      <c r="AJ17" s="92"/>
      <c r="AK17" s="92"/>
      <c r="AL17" s="91"/>
      <c r="AM17" s="93"/>
    </row>
    <row r="18" spans="2:39" ht="19.95" customHeight="1" x14ac:dyDescent="0.25">
      <c r="B18" s="48"/>
      <c r="C18" s="52"/>
      <c r="D18" s="52"/>
      <c r="E18" s="37" t="s">
        <v>265</v>
      </c>
      <c r="F18" s="17">
        <v>14.653</v>
      </c>
      <c r="G18" s="97">
        <v>100</v>
      </c>
      <c r="H18" s="17">
        <f>1570903.57/1000</f>
        <v>1570.9035700000002</v>
      </c>
      <c r="I18" s="17"/>
      <c r="J18" s="17"/>
      <c r="K18" s="199"/>
      <c r="L18" s="199"/>
      <c r="M18" s="199"/>
      <c r="N18" s="199"/>
      <c r="O18" s="26">
        <v>10</v>
      </c>
      <c r="P18" s="95">
        <f t="shared" si="0"/>
        <v>108.72525999999999</v>
      </c>
      <c r="Q18" s="95"/>
      <c r="R18" s="95">
        <f t="shared" si="1"/>
        <v>46.596539999999997</v>
      </c>
      <c r="S18" s="95">
        <f>(O18*F18)*1.06</f>
        <v>155.3218</v>
      </c>
      <c r="T18" s="234"/>
      <c r="AD18" s="91"/>
      <c r="AE18" s="92"/>
      <c r="AF18" s="92"/>
      <c r="AG18" s="92"/>
      <c r="AH18" s="92"/>
      <c r="AI18" s="92"/>
      <c r="AJ18" s="92"/>
      <c r="AK18" s="92"/>
      <c r="AL18" s="91"/>
      <c r="AM18" s="93"/>
    </row>
    <row r="19" spans="2:39" ht="19.95" customHeight="1" x14ac:dyDescent="0.25">
      <c r="B19" s="48"/>
      <c r="C19" s="52"/>
      <c r="D19" s="53"/>
      <c r="E19" s="37" t="s">
        <v>266</v>
      </c>
      <c r="F19" s="17">
        <v>14.653</v>
      </c>
      <c r="G19" s="97">
        <v>50</v>
      </c>
      <c r="H19" s="17">
        <f>788878.4/1000</f>
        <v>788.87840000000006</v>
      </c>
      <c r="I19" s="17"/>
      <c r="J19" s="17"/>
      <c r="K19" s="199"/>
      <c r="L19" s="199"/>
      <c r="M19" s="199"/>
      <c r="N19" s="199"/>
      <c r="O19" s="26">
        <v>5</v>
      </c>
      <c r="P19" s="95">
        <f t="shared" si="0"/>
        <v>54.362629999999996</v>
      </c>
      <c r="Q19" s="95"/>
      <c r="R19" s="95">
        <f t="shared" si="1"/>
        <v>23.298269999999999</v>
      </c>
      <c r="S19" s="95">
        <f>(O19*F19)*1.06</f>
        <v>77.660899999999998</v>
      </c>
      <c r="T19" s="233"/>
      <c r="AD19" s="91"/>
      <c r="AE19" s="92"/>
      <c r="AF19" s="92"/>
      <c r="AG19" s="92"/>
      <c r="AH19" s="92"/>
      <c r="AI19" s="92"/>
      <c r="AJ19" s="92"/>
      <c r="AK19" s="92"/>
      <c r="AL19" s="91"/>
      <c r="AM19" s="93"/>
    </row>
    <row r="20" spans="2:39" x14ac:dyDescent="0.25">
      <c r="B20" s="48"/>
      <c r="C20" s="103" t="s">
        <v>126</v>
      </c>
      <c r="D20" s="106"/>
      <c r="E20" s="103"/>
      <c r="F20" s="25"/>
      <c r="G20" s="25"/>
      <c r="H20" s="104">
        <f>SUM(H15:H19)</f>
        <v>8667.8029800000004</v>
      </c>
      <c r="I20" s="104"/>
      <c r="J20" s="104"/>
      <c r="K20" s="104"/>
      <c r="L20" s="104"/>
      <c r="M20" s="104"/>
      <c r="N20" s="104"/>
      <c r="O20" s="104"/>
      <c r="P20" s="104">
        <f>SUM(P15:P19)</f>
        <v>489.26366999999993</v>
      </c>
      <c r="Q20" s="104">
        <f t="shared" ref="Q20:S20" si="2">SUM(Q15:Q19)</f>
        <v>0</v>
      </c>
      <c r="R20" s="104">
        <f t="shared" si="2"/>
        <v>209.68442999999999</v>
      </c>
      <c r="S20" s="104">
        <f t="shared" si="2"/>
        <v>698.94809999999995</v>
      </c>
      <c r="T20" s="115"/>
    </row>
    <row r="21" spans="2:39" x14ac:dyDescent="0.25">
      <c r="B21" s="48"/>
      <c r="C21" s="50" t="s">
        <v>4</v>
      </c>
      <c r="D21" s="18" t="s">
        <v>127</v>
      </c>
      <c r="E21" s="39"/>
      <c r="F21" s="33"/>
      <c r="G21" s="33"/>
      <c r="H21" s="100"/>
      <c r="I21" s="100"/>
      <c r="J21" s="100"/>
      <c r="K21" s="100"/>
      <c r="L21" s="100"/>
      <c r="M21" s="100"/>
      <c r="N21" s="100"/>
      <c r="O21" s="26"/>
      <c r="P21" s="26"/>
      <c r="Q21" s="26"/>
      <c r="R21" s="26"/>
      <c r="S21" s="26"/>
      <c r="T21" s="116"/>
      <c r="AD21" s="91"/>
      <c r="AE21" s="92"/>
      <c r="AF21" s="92"/>
      <c r="AG21" s="92"/>
      <c r="AH21" s="92"/>
      <c r="AI21" s="92"/>
      <c r="AJ21" s="92"/>
    </row>
    <row r="22" spans="2:39" x14ac:dyDescent="0.25">
      <c r="B22" s="48"/>
      <c r="C22" s="52"/>
      <c r="D22" s="33">
        <v>1</v>
      </c>
      <c r="E22" s="29" t="s">
        <v>128</v>
      </c>
      <c r="F22" s="33"/>
      <c r="G22" s="16">
        <v>20</v>
      </c>
      <c r="H22" s="17"/>
      <c r="I22" s="17"/>
      <c r="J22" s="17"/>
      <c r="K22" s="17"/>
      <c r="L22" s="17"/>
      <c r="M22" s="17"/>
      <c r="N22" s="17"/>
      <c r="O22" s="96">
        <v>1</v>
      </c>
      <c r="P22" s="26"/>
      <c r="Q22" s="26"/>
      <c r="R22" s="26"/>
      <c r="S22" s="26"/>
      <c r="T22" s="116"/>
    </row>
    <row r="23" spans="2:39" x14ac:dyDescent="0.25">
      <c r="B23" s="48"/>
      <c r="C23" s="52"/>
      <c r="D23" s="33">
        <v>2</v>
      </c>
      <c r="E23" s="29" t="s">
        <v>125</v>
      </c>
      <c r="F23" s="33"/>
      <c r="G23" s="16">
        <v>20</v>
      </c>
      <c r="H23" s="17"/>
      <c r="I23" s="17"/>
      <c r="J23" s="17"/>
      <c r="K23" s="17"/>
      <c r="L23" s="17"/>
      <c r="M23" s="17"/>
      <c r="N23" s="17"/>
      <c r="O23" s="96">
        <v>1</v>
      </c>
      <c r="P23" s="26"/>
      <c r="Q23" s="26"/>
      <c r="R23" s="26"/>
      <c r="S23" s="26"/>
      <c r="T23" s="116"/>
      <c r="AE23" s="60"/>
      <c r="AF23" s="60"/>
      <c r="AG23" s="60"/>
      <c r="AH23" s="60"/>
      <c r="AI23" s="60"/>
    </row>
    <row r="24" spans="2:39" ht="45.6" x14ac:dyDescent="0.25">
      <c r="B24" s="48"/>
      <c r="C24" s="53"/>
      <c r="D24" s="33">
        <v>3</v>
      </c>
      <c r="E24" s="29" t="s">
        <v>129</v>
      </c>
      <c r="F24" s="97">
        <v>65.123999999999995</v>
      </c>
      <c r="G24" s="16">
        <v>20</v>
      </c>
      <c r="H24" s="17">
        <v>1402.45</v>
      </c>
      <c r="I24" s="17"/>
      <c r="J24" s="17"/>
      <c r="K24" s="17"/>
      <c r="L24" s="17"/>
      <c r="M24" s="199"/>
      <c r="N24" s="199"/>
      <c r="O24" s="98">
        <v>1</v>
      </c>
      <c r="P24" s="99">
        <f>R24</f>
        <v>34.515720000000002</v>
      </c>
      <c r="Q24" s="99"/>
      <c r="R24" s="99">
        <f>S24*0.5</f>
        <v>34.515720000000002</v>
      </c>
      <c r="S24" s="99">
        <f>(O24*F24)*1.06</f>
        <v>69.031440000000003</v>
      </c>
      <c r="T24" s="117" t="s">
        <v>182</v>
      </c>
      <c r="AD24" s="91"/>
      <c r="AE24" s="92"/>
      <c r="AF24" s="92"/>
      <c r="AG24" s="92"/>
      <c r="AH24" s="92"/>
      <c r="AI24" s="92"/>
      <c r="AJ24" s="92"/>
      <c r="AK24" s="92"/>
      <c r="AL24" s="91"/>
      <c r="AM24" s="93"/>
    </row>
    <row r="25" spans="2:39" x14ac:dyDescent="0.25">
      <c r="B25" s="48"/>
      <c r="C25" s="103" t="s">
        <v>126</v>
      </c>
      <c r="D25" s="109"/>
      <c r="E25" s="103"/>
      <c r="F25" s="25"/>
      <c r="G25" s="25"/>
      <c r="H25" s="104">
        <f>SUM(H22:H24)</f>
        <v>1402.45</v>
      </c>
      <c r="I25" s="104"/>
      <c r="J25" s="104"/>
      <c r="K25" s="104"/>
      <c r="L25" s="104"/>
      <c r="M25" s="104"/>
      <c r="N25" s="104"/>
      <c r="O25" s="105"/>
      <c r="P25" s="104">
        <f t="shared" ref="P25:S25" si="3">SUM(P22:P24)</f>
        <v>34.515720000000002</v>
      </c>
      <c r="Q25" s="104">
        <f t="shared" si="3"/>
        <v>0</v>
      </c>
      <c r="R25" s="104">
        <f t="shared" si="3"/>
        <v>34.515720000000002</v>
      </c>
      <c r="S25" s="104">
        <f t="shared" si="3"/>
        <v>69.031440000000003</v>
      </c>
      <c r="T25" s="116"/>
    </row>
    <row r="26" spans="2:39" x14ac:dyDescent="0.25">
      <c r="B26" s="48"/>
      <c r="C26" s="50" t="s">
        <v>68</v>
      </c>
      <c r="D26" s="18" t="s">
        <v>130</v>
      </c>
      <c r="E26" s="33"/>
      <c r="F26" s="33"/>
      <c r="G26" s="33"/>
      <c r="H26" s="100"/>
      <c r="I26" s="100"/>
      <c r="J26" s="100"/>
      <c r="K26" s="100"/>
      <c r="L26" s="100"/>
      <c r="M26" s="100"/>
      <c r="N26" s="100"/>
      <c r="O26" s="26"/>
      <c r="P26" s="26"/>
      <c r="Q26" s="26"/>
      <c r="R26" s="26"/>
      <c r="S26" s="26"/>
      <c r="T26" s="116"/>
    </row>
    <row r="27" spans="2:39" ht="19.95" customHeight="1" x14ac:dyDescent="0.25">
      <c r="B27" s="48"/>
      <c r="C27" s="51"/>
      <c r="D27" s="33">
        <v>1</v>
      </c>
      <c r="E27" s="29" t="s">
        <v>131</v>
      </c>
      <c r="F27" s="33"/>
      <c r="G27" s="16">
        <v>35</v>
      </c>
      <c r="H27" s="100"/>
      <c r="I27" s="100"/>
      <c r="J27" s="100"/>
      <c r="K27" s="100"/>
      <c r="L27" s="100"/>
      <c r="M27" s="100"/>
      <c r="N27" s="100"/>
      <c r="O27" s="26"/>
      <c r="P27" s="26"/>
      <c r="Q27" s="26"/>
      <c r="R27" s="26"/>
      <c r="S27" s="26"/>
      <c r="T27" s="116"/>
    </row>
    <row r="28" spans="2:39" ht="19.95" customHeight="1" x14ac:dyDescent="0.25">
      <c r="B28" s="48"/>
      <c r="C28" s="51"/>
      <c r="D28" s="33">
        <v>2</v>
      </c>
      <c r="E28" s="29" t="s">
        <v>125</v>
      </c>
      <c r="F28" s="33"/>
      <c r="G28" s="16">
        <v>35</v>
      </c>
      <c r="H28" s="100"/>
      <c r="I28" s="100"/>
      <c r="J28" s="100"/>
      <c r="K28" s="100"/>
      <c r="L28" s="100"/>
      <c r="M28" s="100"/>
      <c r="N28" s="100"/>
      <c r="O28" s="26"/>
      <c r="P28" s="26"/>
      <c r="Q28" s="26"/>
      <c r="R28" s="26"/>
      <c r="S28" s="26"/>
      <c r="T28" s="116"/>
    </row>
    <row r="29" spans="2:39" ht="19.95" customHeight="1" x14ac:dyDescent="0.25">
      <c r="B29" s="48"/>
      <c r="C29" s="51"/>
      <c r="D29" s="54">
        <v>3</v>
      </c>
      <c r="E29" s="29" t="s">
        <v>65</v>
      </c>
      <c r="F29" s="33"/>
      <c r="G29" s="33"/>
      <c r="H29" s="100"/>
      <c r="I29" s="100"/>
      <c r="J29" s="100"/>
      <c r="K29" s="100"/>
      <c r="L29" s="100"/>
      <c r="M29" s="100"/>
      <c r="N29" s="100"/>
      <c r="O29" s="26"/>
      <c r="P29" s="26"/>
      <c r="Q29" s="26"/>
      <c r="R29" s="26"/>
      <c r="S29" s="26"/>
      <c r="T29" s="116"/>
      <c r="AE29" s="60"/>
      <c r="AF29" s="60"/>
      <c r="AG29" s="60"/>
      <c r="AH29" s="60"/>
      <c r="AI29" s="60"/>
    </row>
    <row r="30" spans="2:39" ht="45.6" x14ac:dyDescent="0.25">
      <c r="B30" s="48"/>
      <c r="C30" s="52"/>
      <c r="D30" s="52"/>
      <c r="E30" s="37" t="s">
        <v>65</v>
      </c>
      <c r="F30" s="17">
        <v>128.619</v>
      </c>
      <c r="G30" s="97">
        <v>35</v>
      </c>
      <c r="H30" s="17">
        <f>G30*F30</f>
        <v>4501.665</v>
      </c>
      <c r="I30" s="17"/>
      <c r="J30" s="17"/>
      <c r="K30" s="17"/>
      <c r="L30" s="17"/>
      <c r="M30" s="199"/>
      <c r="N30" s="199"/>
      <c r="O30" s="96">
        <v>2</v>
      </c>
      <c r="P30" s="99">
        <f>R30</f>
        <v>136.33614</v>
      </c>
      <c r="Q30" s="99"/>
      <c r="R30" s="99">
        <f>S30*0.5</f>
        <v>136.33614</v>
      </c>
      <c r="S30" s="99">
        <f>(O30*F30)*1.06</f>
        <v>272.67228</v>
      </c>
      <c r="T30" s="175" t="s">
        <v>182</v>
      </c>
      <c r="AD30" s="91"/>
      <c r="AE30" s="92"/>
      <c r="AF30" s="92"/>
      <c r="AG30" s="92"/>
      <c r="AH30" s="92"/>
      <c r="AI30" s="92"/>
      <c r="AJ30" s="92"/>
      <c r="AK30" s="92"/>
      <c r="AL30" s="91"/>
      <c r="AM30" s="93"/>
    </row>
    <row r="31" spans="2:39" x14ac:dyDescent="0.25">
      <c r="B31" s="48"/>
      <c r="C31" s="103" t="s">
        <v>126</v>
      </c>
      <c r="D31" s="106"/>
      <c r="E31" s="103"/>
      <c r="F31" s="104"/>
      <c r="G31" s="25"/>
      <c r="H31" s="104">
        <f>SUM(H30)</f>
        <v>4501.665</v>
      </c>
      <c r="I31" s="104">
        <f t="shared" ref="I31:S31" si="4">SUM(I30)</f>
        <v>0</v>
      </c>
      <c r="J31" s="104">
        <f t="shared" si="4"/>
        <v>0</v>
      </c>
      <c r="K31" s="104">
        <f t="shared" si="4"/>
        <v>0</v>
      </c>
      <c r="L31" s="104">
        <f t="shared" si="4"/>
        <v>0</v>
      </c>
      <c r="M31" s="104">
        <f t="shared" si="4"/>
        <v>0</v>
      </c>
      <c r="N31" s="104">
        <f t="shared" si="4"/>
        <v>0</v>
      </c>
      <c r="O31" s="104">
        <f t="shared" si="4"/>
        <v>2</v>
      </c>
      <c r="P31" s="104">
        <f t="shared" si="4"/>
        <v>136.33614</v>
      </c>
      <c r="Q31" s="104">
        <f t="shared" si="4"/>
        <v>0</v>
      </c>
      <c r="R31" s="104">
        <f t="shared" si="4"/>
        <v>136.33614</v>
      </c>
      <c r="S31" s="104">
        <f t="shared" si="4"/>
        <v>272.67228</v>
      </c>
      <c r="T31" s="115"/>
    </row>
    <row r="32" spans="2:39" x14ac:dyDescent="0.25">
      <c r="B32" s="48"/>
      <c r="C32" s="50" t="s">
        <v>67</v>
      </c>
      <c r="D32" s="18" t="s">
        <v>66</v>
      </c>
      <c r="E32" s="39"/>
      <c r="F32" s="102"/>
      <c r="G32" s="33"/>
      <c r="H32" s="33"/>
      <c r="I32" s="33"/>
      <c r="J32" s="33"/>
      <c r="K32" s="33"/>
      <c r="L32" s="33"/>
      <c r="M32" s="33"/>
      <c r="N32" s="33"/>
      <c r="O32" s="26"/>
      <c r="P32" s="26"/>
      <c r="Q32" s="26"/>
      <c r="R32" s="26"/>
      <c r="S32" s="26"/>
      <c r="T32" s="116"/>
      <c r="AE32" s="60"/>
      <c r="AF32" s="60"/>
      <c r="AG32" s="60"/>
      <c r="AH32" s="60"/>
      <c r="AI32" s="60"/>
      <c r="AJ32" s="60"/>
      <c r="AK32" s="60"/>
    </row>
    <row r="33" spans="2:39" ht="12.75" customHeight="1" x14ac:dyDescent="0.25">
      <c r="B33" s="48"/>
      <c r="C33" s="52"/>
      <c r="D33" s="33">
        <v>1</v>
      </c>
      <c r="E33" s="29" t="s">
        <v>132</v>
      </c>
      <c r="F33" s="17">
        <v>17.943999999999999</v>
      </c>
      <c r="G33" s="97">
        <v>6</v>
      </c>
      <c r="H33" s="17">
        <f>116.66+20+0.821</f>
        <v>137.48099999999999</v>
      </c>
      <c r="I33" s="17"/>
      <c r="J33" s="17"/>
      <c r="K33" s="17"/>
      <c r="L33" s="17"/>
      <c r="M33" s="199"/>
      <c r="N33" s="199"/>
      <c r="O33" s="98">
        <v>1</v>
      </c>
      <c r="P33" s="99">
        <f>S33*0.7</f>
        <v>13.314447999999999</v>
      </c>
      <c r="Q33" s="99">
        <f>S33*0.3</f>
        <v>5.7061919999999997</v>
      </c>
      <c r="R33" s="99"/>
      <c r="S33" s="99">
        <f>(O33*F33)*1.06</f>
        <v>19.02064</v>
      </c>
      <c r="T33" s="232" t="s">
        <v>196</v>
      </c>
      <c r="AD33" s="91"/>
      <c r="AE33" s="92"/>
      <c r="AF33" s="92"/>
      <c r="AG33" s="92"/>
      <c r="AH33" s="92"/>
      <c r="AI33" s="92"/>
      <c r="AJ33" s="92"/>
      <c r="AK33" s="92"/>
      <c r="AL33" s="91"/>
      <c r="AM33" s="93"/>
    </row>
    <row r="34" spans="2:39" x14ac:dyDescent="0.25">
      <c r="B34" s="48"/>
      <c r="C34" s="53"/>
      <c r="D34" s="33">
        <v>2</v>
      </c>
      <c r="E34" s="29" t="s">
        <v>133</v>
      </c>
      <c r="F34" s="17">
        <v>86.289000000000001</v>
      </c>
      <c r="G34" s="97">
        <v>7</v>
      </c>
      <c r="H34" s="17">
        <f>658.618+20</f>
        <v>678.61800000000005</v>
      </c>
      <c r="I34" s="17"/>
      <c r="J34" s="17"/>
      <c r="K34" s="17"/>
      <c r="L34" s="17"/>
      <c r="M34" s="199"/>
      <c r="N34" s="199"/>
      <c r="O34" s="98">
        <v>1</v>
      </c>
      <c r="P34" s="99">
        <f>S34-Q34</f>
        <v>64.026437999999999</v>
      </c>
      <c r="Q34" s="99">
        <f>S34*0.3</f>
        <v>27.439902</v>
      </c>
      <c r="R34" s="99"/>
      <c r="S34" s="99">
        <f>(O34*F34)*1.06</f>
        <v>91.466340000000002</v>
      </c>
      <c r="T34" s="233"/>
      <c r="AD34" s="91"/>
      <c r="AE34" s="92"/>
      <c r="AF34" s="92"/>
      <c r="AG34" s="92"/>
      <c r="AH34" s="92"/>
      <c r="AI34" s="92"/>
      <c r="AJ34" s="92"/>
      <c r="AK34" s="92"/>
      <c r="AL34" s="91"/>
      <c r="AM34" s="93"/>
    </row>
    <row r="35" spans="2:39" x14ac:dyDescent="0.25">
      <c r="B35" s="48"/>
      <c r="C35" s="103" t="s">
        <v>126</v>
      </c>
      <c r="D35" s="109"/>
      <c r="E35" s="103"/>
      <c r="F35" s="25"/>
      <c r="G35" s="25"/>
      <c r="H35" s="104">
        <f>SUM(H33:H34)</f>
        <v>816.09900000000005</v>
      </c>
      <c r="I35" s="104"/>
      <c r="J35" s="104"/>
      <c r="K35" s="104"/>
      <c r="L35" s="104"/>
      <c r="M35" s="104"/>
      <c r="N35" s="104"/>
      <c r="O35" s="107"/>
      <c r="P35" s="104">
        <f>SUM(P33:P34)</f>
        <v>77.340885999999998</v>
      </c>
      <c r="Q35" s="104">
        <f>SUM(Q33:Q34)</f>
        <v>33.146093999999998</v>
      </c>
      <c r="R35" s="104">
        <f>SUM(R33:R34)</f>
        <v>0</v>
      </c>
      <c r="S35" s="104">
        <f>SUM(S33:S34)</f>
        <v>110.48698</v>
      </c>
      <c r="T35" s="115"/>
      <c r="AE35" s="101"/>
      <c r="AF35" s="101"/>
      <c r="AG35" s="101"/>
      <c r="AH35" s="101"/>
      <c r="AI35" s="101"/>
      <c r="AJ35" s="101"/>
      <c r="AK35" s="101"/>
      <c r="AL35" s="101"/>
      <c r="AM35" s="101"/>
    </row>
    <row r="36" spans="2:39" ht="45.6" x14ac:dyDescent="0.25">
      <c r="B36" s="48"/>
      <c r="C36" s="18" t="s">
        <v>69</v>
      </c>
      <c r="D36" s="18" t="s">
        <v>134</v>
      </c>
      <c r="E36" s="39"/>
      <c r="F36" s="17">
        <v>109.89700000000001</v>
      </c>
      <c r="G36" s="97">
        <v>5</v>
      </c>
      <c r="H36" s="17">
        <f>573.466+40</f>
        <v>613.46600000000001</v>
      </c>
      <c r="I36" s="217"/>
      <c r="J36" s="217"/>
      <c r="K36" s="17"/>
      <c r="L36" s="17"/>
      <c r="M36" s="17"/>
      <c r="N36" s="17"/>
      <c r="O36" s="98">
        <v>1</v>
      </c>
      <c r="P36" s="99">
        <f>S36*0.76</f>
        <v>88.533023200000017</v>
      </c>
      <c r="Q36" s="99">
        <f>S36*0.24</f>
        <v>27.957796800000001</v>
      </c>
      <c r="R36" s="99"/>
      <c r="S36" s="99">
        <f>(O36*F36)*1.06</f>
        <v>116.49082000000001</v>
      </c>
      <c r="T36" s="117" t="s">
        <v>183</v>
      </c>
      <c r="AD36" s="91"/>
      <c r="AE36" s="92"/>
      <c r="AF36" s="92"/>
      <c r="AG36" s="92"/>
      <c r="AH36" s="92"/>
      <c r="AI36" s="92"/>
      <c r="AJ36" s="92"/>
      <c r="AK36" s="92"/>
      <c r="AL36" s="91"/>
      <c r="AM36" s="93"/>
    </row>
    <row r="37" spans="2:39" x14ac:dyDescent="0.25">
      <c r="B37" s="49"/>
      <c r="C37" s="103" t="s">
        <v>126</v>
      </c>
      <c r="D37" s="109"/>
      <c r="E37" s="103"/>
      <c r="F37" s="25"/>
      <c r="G37" s="25"/>
      <c r="H37" s="104">
        <f>SUM(H36)</f>
        <v>613.46600000000001</v>
      </c>
      <c r="I37" s="104"/>
      <c r="J37" s="104"/>
      <c r="K37" s="104"/>
      <c r="L37" s="104"/>
      <c r="M37" s="104"/>
      <c r="N37" s="104"/>
      <c r="O37" s="107"/>
      <c r="P37" s="104">
        <f>SUM(P36)</f>
        <v>88.533023200000017</v>
      </c>
      <c r="Q37" s="104">
        <f>SUM(Q36)</f>
        <v>27.957796800000001</v>
      </c>
      <c r="R37" s="104">
        <f>SUM(R36)</f>
        <v>0</v>
      </c>
      <c r="S37" s="104">
        <f>SUM(S36)</f>
        <v>116.49082000000001</v>
      </c>
      <c r="T37" s="108"/>
    </row>
    <row r="38" spans="2:39" ht="13.8" thickBot="1" x14ac:dyDescent="0.3">
      <c r="B38" s="110" t="s">
        <v>141</v>
      </c>
      <c r="C38" s="40"/>
      <c r="D38" s="111"/>
      <c r="E38" s="110"/>
      <c r="F38" s="112"/>
      <c r="G38" s="112"/>
      <c r="H38" s="113">
        <f>SUM(H20,H25,H31,H35,H37)</f>
        <v>16001.482980000002</v>
      </c>
      <c r="I38" s="113"/>
      <c r="J38" s="113"/>
      <c r="K38" s="113"/>
      <c r="L38" s="113"/>
      <c r="M38" s="113"/>
      <c r="N38" s="113"/>
      <c r="O38" s="113">
        <f>SUM(O20,O25,O31,O35,O37)</f>
        <v>2</v>
      </c>
      <c r="P38" s="113">
        <f>SUM(P20,P25,P31,P35,P37)</f>
        <v>825.98943919999988</v>
      </c>
      <c r="Q38" s="113">
        <f>SUM(Q20,Q25,Q31,Q35,Q37)</f>
        <v>61.103890800000002</v>
      </c>
      <c r="R38" s="113">
        <f>SUM(R20,R25,R31,R35,R37)</f>
        <v>380.53629000000001</v>
      </c>
      <c r="S38" s="113">
        <f>SUM(S20,S25,S31,S35,S37)</f>
        <v>1267.6296199999999</v>
      </c>
      <c r="T38" s="114"/>
    </row>
    <row r="39" spans="2:39" ht="13.8" thickTop="1" x14ac:dyDescent="0.25"/>
    <row r="41" spans="2:39" x14ac:dyDescent="0.25">
      <c r="H41" s="169"/>
      <c r="I41" s="169"/>
      <c r="J41" s="169"/>
      <c r="K41" s="169"/>
      <c r="L41" s="169"/>
      <c r="M41" s="169"/>
      <c r="N41" s="169"/>
    </row>
  </sheetData>
  <mergeCells count="15">
    <mergeCell ref="T33:T34"/>
    <mergeCell ref="B1:T1"/>
    <mergeCell ref="B3:T3"/>
    <mergeCell ref="B4:T4"/>
    <mergeCell ref="B5:T5"/>
    <mergeCell ref="B6:T6"/>
    <mergeCell ref="T15:T19"/>
    <mergeCell ref="B8:B9"/>
    <mergeCell ref="F8:H8"/>
    <mergeCell ref="P8:S8"/>
    <mergeCell ref="T8:T9"/>
    <mergeCell ref="C8:E9"/>
    <mergeCell ref="O8:O9"/>
    <mergeCell ref="I8:J8"/>
    <mergeCell ref="K8:N8"/>
  </mergeCells>
  <pageMargins left="0.22" right="0.24" top="0.27" bottom="0.3" header="0.3" footer="0.3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39"/>
  <sheetViews>
    <sheetView zoomScale="80" zoomScaleNormal="80" workbookViewId="0">
      <selection activeCell="E24" sqref="E24"/>
    </sheetView>
  </sheetViews>
  <sheetFormatPr defaultColWidth="8.77734375" defaultRowHeight="13.2" x14ac:dyDescent="0.25"/>
  <cols>
    <col min="1" max="1" width="2.109375" customWidth="1"/>
    <col min="2" max="2" width="5.77734375" customWidth="1"/>
    <col min="3" max="3" width="3.44140625" customWidth="1"/>
    <col min="4" max="4" width="4.44140625" customWidth="1"/>
    <col min="5" max="5" width="39.33203125" customWidth="1"/>
    <col min="6" max="6" width="8.77734375" customWidth="1"/>
    <col min="7" max="7" width="10.33203125" style="9" customWidth="1"/>
    <col min="8" max="8" width="11" style="9" customWidth="1"/>
    <col min="9" max="9" width="12.109375" style="9" customWidth="1"/>
    <col min="10" max="15" width="5.77734375" style="9" bestFit="1" customWidth="1"/>
    <col min="16" max="16" width="10" style="9" customWidth="1"/>
    <col min="17" max="19" width="8.77734375" style="9" customWidth="1"/>
    <col min="20" max="20" width="9.44140625" style="9" customWidth="1"/>
    <col min="21" max="21" width="12.44140625" style="9" customWidth="1"/>
    <col min="22" max="23" width="11.44140625" customWidth="1"/>
    <col min="24" max="24" width="16.44140625" customWidth="1"/>
    <col min="25" max="31" width="11.44140625" customWidth="1"/>
    <col min="32" max="32" width="13.44140625" bestFit="1" customWidth="1"/>
    <col min="33" max="33" width="16.33203125" bestFit="1" customWidth="1"/>
    <col min="34" max="37" width="13.77734375" bestFit="1" customWidth="1"/>
    <col min="38" max="38" width="12.33203125" bestFit="1" customWidth="1"/>
    <col min="39" max="39" width="9.77734375" bestFit="1" customWidth="1"/>
    <col min="40" max="40" width="15.109375" bestFit="1" customWidth="1"/>
    <col min="41" max="41" width="8.77734375" bestFit="1" customWidth="1"/>
    <col min="42" max="265" width="11.44140625" customWidth="1"/>
  </cols>
  <sheetData>
    <row r="1" spans="2:16384" ht="13.8" x14ac:dyDescent="0.25">
      <c r="B1" s="227" t="s">
        <v>101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31"/>
      <c r="W1" s="31"/>
      <c r="X1" s="31"/>
    </row>
    <row r="3" spans="2:16384" ht="12.75" customHeight="1" x14ac:dyDescent="0.25">
      <c r="B3" s="227" t="s">
        <v>102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</row>
    <row r="4" spans="2:16384" ht="13.8" x14ac:dyDescent="0.25">
      <c r="B4" s="227" t="s">
        <v>259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</row>
    <row r="5" spans="2:16384" ht="13.8" x14ac:dyDescent="0.25"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</row>
    <row r="6" spans="2:16384" ht="13.8" x14ac:dyDescent="0.25">
      <c r="B6" s="227" t="s">
        <v>135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</row>
    <row r="7" spans="2:16384" ht="13.8" thickBot="1" x14ac:dyDescent="0.3">
      <c r="U7" s="24" t="s">
        <v>112</v>
      </c>
    </row>
    <row r="8" spans="2:16384" s="13" customFormat="1" ht="13.5" customHeight="1" thickTop="1" thickBot="1" x14ac:dyDescent="0.3">
      <c r="B8" s="235" t="s">
        <v>91</v>
      </c>
      <c r="C8" s="243" t="s">
        <v>136</v>
      </c>
      <c r="D8" s="244"/>
      <c r="E8" s="245"/>
      <c r="F8" s="258" t="s">
        <v>185</v>
      </c>
      <c r="G8" s="237" t="s">
        <v>116</v>
      </c>
      <c r="H8" s="238"/>
      <c r="I8" s="239"/>
      <c r="J8" s="250" t="s">
        <v>214</v>
      </c>
      <c r="K8" s="251"/>
      <c r="L8" s="252" t="s">
        <v>215</v>
      </c>
      <c r="M8" s="253"/>
      <c r="N8" s="253"/>
      <c r="O8" s="254"/>
      <c r="P8" s="260" t="s">
        <v>258</v>
      </c>
      <c r="Q8" s="240" t="s">
        <v>108</v>
      </c>
      <c r="R8" s="240"/>
      <c r="S8" s="240"/>
      <c r="T8" s="240"/>
      <c r="U8" s="241" t="s">
        <v>94</v>
      </c>
      <c r="X8" s="15"/>
      <c r="AG8" s="15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pans="2:16384" s="13" customFormat="1" ht="35.25" customHeight="1" x14ac:dyDescent="0.25">
      <c r="B9" s="236"/>
      <c r="C9" s="246"/>
      <c r="D9" s="247"/>
      <c r="E9" s="248"/>
      <c r="F9" s="259"/>
      <c r="G9" s="25" t="s">
        <v>118</v>
      </c>
      <c r="H9" s="25" t="s">
        <v>117</v>
      </c>
      <c r="I9" s="25" t="s">
        <v>104</v>
      </c>
      <c r="J9" s="25" t="s">
        <v>216</v>
      </c>
      <c r="K9" s="25" t="s">
        <v>217</v>
      </c>
      <c r="L9" s="193" t="s">
        <v>218</v>
      </c>
      <c r="M9" s="193" t="s">
        <v>219</v>
      </c>
      <c r="N9" s="193" t="s">
        <v>216</v>
      </c>
      <c r="O9" s="193" t="s">
        <v>216</v>
      </c>
      <c r="P9" s="261"/>
      <c r="Q9" s="25" t="s">
        <v>113</v>
      </c>
      <c r="R9" s="25" t="s">
        <v>114</v>
      </c>
      <c r="S9" s="21" t="s">
        <v>100</v>
      </c>
      <c r="T9" s="34" t="s">
        <v>90</v>
      </c>
      <c r="U9" s="242"/>
      <c r="AE9" s="15"/>
      <c r="AF9" s="15"/>
      <c r="AN9" s="15"/>
      <c r="AO9" s="15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pans="2:16384" ht="15.75" customHeight="1" x14ac:dyDescent="0.25">
      <c r="B10" s="47" t="s">
        <v>122</v>
      </c>
      <c r="C10" s="18" t="s">
        <v>121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26"/>
      <c r="Q10" s="26"/>
      <c r="R10" s="26"/>
      <c r="S10" s="26"/>
      <c r="T10" s="26"/>
      <c r="U10" s="27"/>
      <c r="W10" s="13"/>
      <c r="X10" s="13"/>
      <c r="Y10" s="13"/>
      <c r="Z10" s="13"/>
      <c r="AA10" s="13"/>
      <c r="AB10" s="13"/>
      <c r="AC10" s="13"/>
      <c r="AD10" s="13"/>
      <c r="AE10" s="15"/>
      <c r="AF10" s="15"/>
      <c r="AG10" s="13"/>
      <c r="AH10" s="13"/>
      <c r="AI10" s="13"/>
      <c r="AJ10" s="13"/>
      <c r="AK10" s="13"/>
      <c r="AL10" s="13"/>
      <c r="AM10" s="13"/>
      <c r="AN10" s="15"/>
      <c r="AO10" s="15"/>
      <c r="AP10" s="13"/>
      <c r="AQ10" s="13"/>
      <c r="AR10" s="13"/>
      <c r="AS10" s="13"/>
    </row>
    <row r="11" spans="2:16384" ht="15.75" customHeight="1" x14ac:dyDescent="0.25">
      <c r="B11" s="48"/>
      <c r="C11" s="18" t="s">
        <v>7</v>
      </c>
      <c r="D11" s="18" t="s">
        <v>137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26"/>
      <c r="Q11" s="26"/>
      <c r="R11" s="26"/>
      <c r="S11" s="26"/>
      <c r="T11" s="26"/>
      <c r="U11" s="27"/>
      <c r="W11" s="13"/>
      <c r="AG11" s="60"/>
      <c r="AH11" s="60"/>
      <c r="AI11" s="60"/>
      <c r="AJ11" s="60"/>
      <c r="AK11" s="60"/>
      <c r="AL11" s="60"/>
      <c r="AN11" s="91"/>
    </row>
    <row r="12" spans="2:16384" ht="26.4" x14ac:dyDescent="0.25">
      <c r="B12" s="48"/>
      <c r="C12" s="18"/>
      <c r="D12" s="30">
        <v>1</v>
      </c>
      <c r="E12" s="37" t="s">
        <v>184</v>
      </c>
      <c r="F12" s="118" t="s">
        <v>186</v>
      </c>
      <c r="G12" s="17">
        <v>4.8800000000000003E-2</v>
      </c>
      <c r="H12" s="97">
        <v>60000</v>
      </c>
      <c r="I12" s="17">
        <v>3175.3980000000001</v>
      </c>
      <c r="J12" s="17"/>
      <c r="K12" s="17"/>
      <c r="L12" s="199"/>
      <c r="M12" s="199"/>
      <c r="N12" s="199"/>
      <c r="O12" s="199"/>
      <c r="P12" s="16">
        <v>600</v>
      </c>
      <c r="Q12" s="127">
        <f>T12*0.85</f>
        <v>26.38128</v>
      </c>
      <c r="R12" s="127">
        <f>T12*0.15</f>
        <v>4.6555200000000001</v>
      </c>
      <c r="S12" s="128"/>
      <c r="T12" s="99">
        <f>(P12*G12)*1.06</f>
        <v>31.036800000000003</v>
      </c>
      <c r="U12" s="119" t="s">
        <v>193</v>
      </c>
      <c r="W12" s="13"/>
      <c r="AF12" s="91"/>
      <c r="AG12" s="92"/>
      <c r="AH12" s="92"/>
      <c r="AI12" s="92"/>
      <c r="AJ12" s="92"/>
      <c r="AK12" s="92"/>
      <c r="AL12" s="92"/>
      <c r="AM12" s="92"/>
      <c r="AN12" s="91"/>
      <c r="AO12" s="93"/>
    </row>
    <row r="13" spans="2:16384" ht="26.4" x14ac:dyDescent="0.25">
      <c r="B13" s="48"/>
      <c r="C13" s="18" t="s">
        <v>4</v>
      </c>
      <c r="D13" s="18" t="s">
        <v>207</v>
      </c>
      <c r="E13" s="39"/>
      <c r="F13" s="36" t="s">
        <v>186</v>
      </c>
      <c r="G13" s="17">
        <v>4.8800000000000003E-2</v>
      </c>
      <c r="H13" s="97">
        <v>42000</v>
      </c>
      <c r="I13" s="17">
        <f>2222.779-30.89</f>
        <v>2191.8890000000001</v>
      </c>
      <c r="J13" s="17"/>
      <c r="K13" s="17"/>
      <c r="L13" s="17"/>
      <c r="M13" s="17"/>
      <c r="N13" s="199"/>
      <c r="O13" s="199"/>
      <c r="P13" s="16">
        <v>300</v>
      </c>
      <c r="Q13" s="127">
        <f>T13*0.42</f>
        <v>6.517728</v>
      </c>
      <c r="R13" s="127">
        <f>T13*0.58</f>
        <v>9.0006719999999998</v>
      </c>
      <c r="S13" s="128"/>
      <c r="T13" s="99">
        <f>(P13*G13)*1.06</f>
        <v>15.518400000000002</v>
      </c>
      <c r="U13" s="119" t="s">
        <v>194</v>
      </c>
      <c r="AF13" s="91"/>
      <c r="AG13" s="92"/>
      <c r="AH13" s="92"/>
      <c r="AI13" s="92"/>
      <c r="AJ13" s="92"/>
      <c r="AK13" s="92"/>
      <c r="AL13" s="92"/>
      <c r="AM13" s="92"/>
      <c r="AN13" s="91"/>
      <c r="AO13" s="93"/>
    </row>
    <row r="14" spans="2:16384" ht="26.4" x14ac:dyDescent="0.25">
      <c r="B14" s="48"/>
      <c r="C14" s="18" t="s">
        <v>68</v>
      </c>
      <c r="D14" s="18" t="s">
        <v>208</v>
      </c>
      <c r="E14" s="33"/>
      <c r="F14" s="30" t="s">
        <v>187</v>
      </c>
      <c r="G14" s="17">
        <v>0.19500000000000001</v>
      </c>
      <c r="H14" s="97">
        <v>25000</v>
      </c>
      <c r="I14" s="17">
        <f>5285.158-35</f>
        <v>5250.1580000000004</v>
      </c>
      <c r="J14" s="17"/>
      <c r="K14" s="17"/>
      <c r="L14" s="199"/>
      <c r="M14" s="199"/>
      <c r="N14" s="199"/>
      <c r="O14" s="199"/>
      <c r="P14" s="16">
        <v>250</v>
      </c>
      <c r="Q14" s="127">
        <f>R14</f>
        <v>25.837500000000002</v>
      </c>
      <c r="R14" s="127">
        <f>T14/2</f>
        <v>25.837500000000002</v>
      </c>
      <c r="S14" s="128"/>
      <c r="T14" s="99">
        <f>(P14*G14)*1.06</f>
        <v>51.675000000000004</v>
      </c>
      <c r="U14" s="119" t="s">
        <v>195</v>
      </c>
      <c r="AF14" s="91"/>
      <c r="AG14" s="92"/>
      <c r="AH14" s="92"/>
      <c r="AI14" s="92"/>
      <c r="AJ14" s="92"/>
      <c r="AK14" s="92"/>
      <c r="AL14" s="92"/>
      <c r="AM14" s="92"/>
      <c r="AN14" s="91"/>
      <c r="AO14" s="93"/>
    </row>
    <row r="15" spans="2:16384" ht="15.75" customHeight="1" x14ac:dyDescent="0.25">
      <c r="B15" s="48"/>
      <c r="C15" s="50" t="s">
        <v>67</v>
      </c>
      <c r="D15" s="18" t="s">
        <v>209</v>
      </c>
      <c r="E15" s="39"/>
      <c r="F15" s="39"/>
      <c r="G15" s="17"/>
      <c r="H15" s="97"/>
      <c r="I15" s="17"/>
      <c r="J15" s="17"/>
      <c r="K15" s="17"/>
      <c r="L15" s="17"/>
      <c r="M15" s="17"/>
      <c r="N15" s="17"/>
      <c r="O15" s="17"/>
      <c r="P15" s="97"/>
      <c r="Q15" s="128"/>
      <c r="R15" s="128"/>
      <c r="S15" s="128"/>
      <c r="T15" s="128"/>
      <c r="U15" s="27"/>
      <c r="AG15" s="60"/>
      <c r="AH15" s="60"/>
      <c r="AI15" s="60"/>
      <c r="AJ15" s="60"/>
      <c r="AK15" s="60"/>
      <c r="AL15" s="60"/>
      <c r="AM15" s="101"/>
      <c r="AN15" s="101"/>
      <c r="AO15" s="101"/>
    </row>
    <row r="16" spans="2:16384" ht="26.4" x14ac:dyDescent="0.25">
      <c r="B16" s="48"/>
      <c r="C16" s="52"/>
      <c r="D16" s="30">
        <v>1</v>
      </c>
      <c r="E16" s="37" t="s">
        <v>132</v>
      </c>
      <c r="F16" s="118" t="s">
        <v>188</v>
      </c>
      <c r="G16" s="17">
        <v>102.57</v>
      </c>
      <c r="H16" s="97">
        <v>6</v>
      </c>
      <c r="I16" s="17">
        <f>729.701-35</f>
        <v>694.70100000000002</v>
      </c>
      <c r="J16" s="17"/>
      <c r="K16" s="17"/>
      <c r="L16" s="199"/>
      <c r="M16" s="199"/>
      <c r="N16" s="199"/>
      <c r="O16" s="199"/>
      <c r="P16" s="16">
        <v>1</v>
      </c>
      <c r="Q16" s="127">
        <f>T16*0.7</f>
        <v>79.696889999999996</v>
      </c>
      <c r="R16" s="127">
        <f>T16*0.3</f>
        <v>34.155809999999995</v>
      </c>
      <c r="S16" s="128"/>
      <c r="T16" s="99">
        <f>(P16*G16)*1.11</f>
        <v>113.8527</v>
      </c>
      <c r="U16" s="119" t="s">
        <v>196</v>
      </c>
      <c r="AF16" s="91"/>
      <c r="AG16" s="92"/>
      <c r="AH16" s="92"/>
      <c r="AI16" s="92"/>
      <c r="AJ16" s="92"/>
      <c r="AK16" s="92"/>
      <c r="AL16" s="92"/>
      <c r="AM16" s="92"/>
      <c r="AN16" s="91"/>
      <c r="AO16" s="93"/>
    </row>
    <row r="17" spans="2:42" ht="15.75" customHeight="1" x14ac:dyDescent="0.25">
      <c r="B17" s="48"/>
      <c r="C17" s="53"/>
      <c r="D17" s="30">
        <v>2</v>
      </c>
      <c r="E17" s="37" t="s">
        <v>138</v>
      </c>
      <c r="F17" s="118" t="s">
        <v>189</v>
      </c>
      <c r="G17" s="17"/>
      <c r="H17" s="97">
        <v>25000</v>
      </c>
      <c r="I17" s="17"/>
      <c r="J17" s="17"/>
      <c r="K17" s="17"/>
      <c r="L17" s="199"/>
      <c r="M17" s="199"/>
      <c r="N17" s="199"/>
      <c r="O17" s="199"/>
      <c r="P17" s="97">
        <v>0</v>
      </c>
      <c r="Q17" s="128"/>
      <c r="R17" s="128"/>
      <c r="S17" s="128"/>
      <c r="T17" s="128"/>
      <c r="U17" s="27"/>
      <c r="AF17" s="91"/>
      <c r="AG17" s="92"/>
      <c r="AH17" s="92"/>
      <c r="AI17" s="92"/>
      <c r="AJ17" s="92"/>
      <c r="AK17" s="92"/>
      <c r="AL17" s="92"/>
    </row>
    <row r="18" spans="2:42" ht="15.75" customHeight="1" x14ac:dyDescent="0.25">
      <c r="B18" s="48"/>
      <c r="C18" s="103" t="s">
        <v>126</v>
      </c>
      <c r="D18" s="109"/>
      <c r="E18" s="103"/>
      <c r="F18" s="121"/>
      <c r="G18" s="122"/>
      <c r="H18" s="123"/>
      <c r="I18" s="122">
        <f>SUM(I12:I17)</f>
        <v>11312.146000000001</v>
      </c>
      <c r="J18" s="122"/>
      <c r="K18" s="122"/>
      <c r="L18" s="122"/>
      <c r="M18" s="122"/>
      <c r="N18" s="122"/>
      <c r="O18" s="122"/>
      <c r="P18" s="123"/>
      <c r="Q18" s="122">
        <f t="shared" ref="Q18:T18" si="0">SUM(Q12:Q17)</f>
        <v>138.43339800000001</v>
      </c>
      <c r="R18" s="122">
        <f>SUM(R12:R17)</f>
        <v>73.649501999999998</v>
      </c>
      <c r="S18" s="122">
        <f t="shared" si="0"/>
        <v>0</v>
      </c>
      <c r="T18" s="122">
        <f t="shared" si="0"/>
        <v>212.0829</v>
      </c>
      <c r="U18" s="124"/>
    </row>
    <row r="19" spans="2:42" ht="15.75" customHeight="1" x14ac:dyDescent="0.25">
      <c r="B19" s="48"/>
      <c r="C19" s="50" t="s">
        <v>69</v>
      </c>
      <c r="D19" s="18" t="s">
        <v>210</v>
      </c>
      <c r="E19" s="39"/>
      <c r="F19" s="38"/>
      <c r="G19" s="17"/>
      <c r="H19" s="97"/>
      <c r="I19" s="17"/>
      <c r="J19" s="17"/>
      <c r="K19" s="17"/>
      <c r="L19" s="17"/>
      <c r="M19" s="17"/>
      <c r="N19" s="17"/>
      <c r="O19" s="17"/>
      <c r="P19" s="97"/>
      <c r="Q19" s="128"/>
      <c r="R19" s="128"/>
      <c r="S19" s="128"/>
      <c r="T19" s="128"/>
      <c r="U19" s="27"/>
      <c r="AG19" s="60"/>
      <c r="AH19" s="60"/>
      <c r="AI19" s="60"/>
      <c r="AJ19" s="60"/>
      <c r="AK19" s="60"/>
      <c r="AL19" s="60"/>
    </row>
    <row r="20" spans="2:42" ht="26.4" x14ac:dyDescent="0.25">
      <c r="B20" s="48"/>
      <c r="C20" s="51"/>
      <c r="D20" s="33">
        <v>1</v>
      </c>
      <c r="E20" s="29" t="s">
        <v>139</v>
      </c>
      <c r="F20" s="35" t="s">
        <v>188</v>
      </c>
      <c r="G20" s="17">
        <v>27.678000000000001</v>
      </c>
      <c r="H20" s="97">
        <v>5</v>
      </c>
      <c r="I20" s="17">
        <f>151.99-35</f>
        <v>116.99000000000001</v>
      </c>
      <c r="J20" s="17"/>
      <c r="K20" s="199"/>
      <c r="L20" s="199"/>
      <c r="M20" s="199"/>
      <c r="N20" s="199"/>
      <c r="O20" s="199"/>
      <c r="P20" s="16">
        <v>1</v>
      </c>
      <c r="Q20" s="127">
        <f>T20*0.7</f>
        <v>21.118314000000002</v>
      </c>
      <c r="R20" s="127">
        <f t="shared" ref="R20:R24" si="1">T20*0.3</f>
        <v>9.0507059999999999</v>
      </c>
      <c r="S20" s="127"/>
      <c r="T20" s="99">
        <f>(P20*G20)*1.09</f>
        <v>30.169020000000003</v>
      </c>
      <c r="U20" s="119" t="s">
        <v>196</v>
      </c>
      <c r="AF20" s="91"/>
      <c r="AG20" s="92"/>
      <c r="AH20" s="92"/>
      <c r="AI20" s="92"/>
      <c r="AJ20" s="92"/>
      <c r="AK20" s="92"/>
      <c r="AL20" s="92"/>
      <c r="AM20" s="92"/>
      <c r="AN20" s="91"/>
      <c r="AO20" s="93"/>
    </row>
    <row r="21" spans="2:42" ht="30" customHeight="1" x14ac:dyDescent="0.25">
      <c r="B21" s="48"/>
      <c r="C21" s="51"/>
      <c r="D21" s="54">
        <v>2</v>
      </c>
      <c r="E21" s="144" t="s">
        <v>140</v>
      </c>
      <c r="F21" s="35"/>
      <c r="G21" s="17"/>
      <c r="H21" s="97"/>
      <c r="I21" s="17"/>
      <c r="J21" s="17"/>
      <c r="K21" s="17"/>
      <c r="L21" s="17"/>
      <c r="M21" s="17"/>
      <c r="N21" s="17"/>
      <c r="O21" s="17"/>
      <c r="P21" s="97"/>
      <c r="Q21" s="128"/>
      <c r="R21" s="127">
        <f t="shared" si="1"/>
        <v>0</v>
      </c>
      <c r="S21" s="128"/>
      <c r="T21" s="128"/>
      <c r="U21" s="27"/>
      <c r="AG21" s="60"/>
      <c r="AH21" s="60"/>
      <c r="AI21" s="60"/>
      <c r="AJ21" s="60"/>
      <c r="AK21" s="60"/>
    </row>
    <row r="22" spans="2:42" ht="15.75" customHeight="1" x14ac:dyDescent="0.25">
      <c r="B22" s="48"/>
      <c r="C22" s="52"/>
      <c r="D22" s="52" t="s">
        <v>156</v>
      </c>
      <c r="E22" s="37" t="s">
        <v>267</v>
      </c>
      <c r="F22" s="118" t="s">
        <v>190</v>
      </c>
      <c r="G22" s="17">
        <v>4.8840000000000003</v>
      </c>
      <c r="H22" s="97">
        <v>2</v>
      </c>
      <c r="I22" s="17">
        <v>10.632</v>
      </c>
      <c r="J22" s="17"/>
      <c r="K22" s="199"/>
      <c r="L22" s="199"/>
      <c r="M22" s="199"/>
      <c r="N22" s="199"/>
      <c r="O22" s="199"/>
      <c r="P22" s="16">
        <v>1</v>
      </c>
      <c r="Q22" s="127">
        <f>T22*0.7</f>
        <v>3.7948680000000006</v>
      </c>
      <c r="R22" s="127">
        <f t="shared" si="1"/>
        <v>1.6263720000000002</v>
      </c>
      <c r="S22" s="127"/>
      <c r="T22" s="99">
        <f>(P22*G22)*1.11</f>
        <v>5.4212400000000009</v>
      </c>
      <c r="U22" s="255" t="s">
        <v>196</v>
      </c>
      <c r="AF22" s="91"/>
      <c r="AG22" s="92"/>
      <c r="AH22" s="92"/>
      <c r="AI22" s="92"/>
      <c r="AJ22" s="92"/>
      <c r="AK22" s="92"/>
      <c r="AL22" s="92"/>
      <c r="AM22" s="92"/>
      <c r="AN22" s="91"/>
      <c r="AO22" s="93"/>
    </row>
    <row r="23" spans="2:42" ht="15.75" customHeight="1" x14ac:dyDescent="0.25">
      <c r="B23" s="48"/>
      <c r="C23" s="52"/>
      <c r="D23" s="52" t="s">
        <v>157</v>
      </c>
      <c r="E23" s="37" t="s">
        <v>268</v>
      </c>
      <c r="F23" s="118" t="s">
        <v>191</v>
      </c>
      <c r="G23" s="17">
        <v>1.6279999999999999</v>
      </c>
      <c r="H23" s="97">
        <v>2</v>
      </c>
      <c r="I23" s="17">
        <v>3.544</v>
      </c>
      <c r="J23" s="17"/>
      <c r="K23" s="199"/>
      <c r="L23" s="199"/>
      <c r="M23" s="199"/>
      <c r="N23" s="199"/>
      <c r="O23" s="199"/>
      <c r="P23" s="16">
        <v>1</v>
      </c>
      <c r="Q23" s="127">
        <f t="shared" ref="Q23:Q24" si="2">T23*0.7</f>
        <v>1.264956</v>
      </c>
      <c r="R23" s="127">
        <f t="shared" si="1"/>
        <v>0.54212399999999994</v>
      </c>
      <c r="S23" s="127"/>
      <c r="T23" s="99">
        <f>(P23*G23)*1.11</f>
        <v>1.80708</v>
      </c>
      <c r="U23" s="256"/>
      <c r="AF23" s="91"/>
      <c r="AG23" s="92"/>
      <c r="AH23" s="92"/>
      <c r="AI23" s="92"/>
      <c r="AJ23" s="92"/>
      <c r="AK23" s="92"/>
      <c r="AL23" s="92"/>
      <c r="AM23" s="92"/>
      <c r="AN23" s="91"/>
      <c r="AO23" s="93"/>
    </row>
    <row r="24" spans="2:42" ht="15.75" customHeight="1" x14ac:dyDescent="0.25">
      <c r="B24" s="48"/>
      <c r="C24" s="52"/>
      <c r="D24" s="52" t="s">
        <v>158</v>
      </c>
      <c r="E24" s="37" t="s">
        <v>269</v>
      </c>
      <c r="F24" s="118" t="s">
        <v>192</v>
      </c>
      <c r="G24" s="17">
        <v>0.372</v>
      </c>
      <c r="H24" s="97">
        <v>8</v>
      </c>
      <c r="I24" s="17">
        <v>3.3879999999999999</v>
      </c>
      <c r="J24" s="17"/>
      <c r="K24" s="199"/>
      <c r="L24" s="199"/>
      <c r="M24" s="199"/>
      <c r="N24" s="199"/>
      <c r="O24" s="199"/>
      <c r="P24" s="16">
        <v>1</v>
      </c>
      <c r="Q24" s="127">
        <f t="shared" si="2"/>
        <v>0.28904399999999997</v>
      </c>
      <c r="R24" s="127">
        <f t="shared" si="1"/>
        <v>0.123876</v>
      </c>
      <c r="S24" s="127"/>
      <c r="T24" s="99">
        <f>(P24*G24)*1.11</f>
        <v>0.41292000000000001</v>
      </c>
      <c r="U24" s="257"/>
      <c r="AF24" s="91"/>
      <c r="AG24" s="92"/>
      <c r="AH24" s="92"/>
      <c r="AI24" s="92"/>
      <c r="AJ24" s="92"/>
      <c r="AK24" s="92"/>
      <c r="AL24" s="92"/>
      <c r="AM24" s="92"/>
      <c r="AN24" s="91"/>
      <c r="AO24" s="93"/>
    </row>
    <row r="25" spans="2:42" ht="15.75" customHeight="1" x14ac:dyDescent="0.25">
      <c r="B25" s="48"/>
      <c r="C25" s="53"/>
      <c r="D25" s="53"/>
      <c r="E25" s="39" t="s">
        <v>126</v>
      </c>
      <c r="F25" s="39"/>
      <c r="G25" s="33"/>
      <c r="H25" s="33"/>
      <c r="I25" s="102">
        <f>SUM(I22:I24)</f>
        <v>17.564</v>
      </c>
      <c r="J25" s="102"/>
      <c r="K25" s="102"/>
      <c r="L25" s="102"/>
      <c r="M25" s="102"/>
      <c r="N25" s="102"/>
      <c r="O25" s="102"/>
      <c r="P25" s="26"/>
      <c r="Q25" s="102">
        <f t="shared" ref="Q25:T25" si="3">SUM(Q22:Q24)</f>
        <v>5.3488680000000004</v>
      </c>
      <c r="R25" s="102">
        <f t="shared" si="3"/>
        <v>2.2923720000000003</v>
      </c>
      <c r="S25" s="102">
        <f t="shared" si="3"/>
        <v>0</v>
      </c>
      <c r="T25" s="102">
        <f t="shared" si="3"/>
        <v>7.6412400000000007</v>
      </c>
      <c r="U25" s="27"/>
      <c r="AG25" s="60"/>
      <c r="AH25" s="60"/>
      <c r="AI25" s="60"/>
      <c r="AJ25" s="60"/>
      <c r="AK25" s="60"/>
      <c r="AN25" s="120"/>
      <c r="AO25" s="93"/>
    </row>
    <row r="26" spans="2:42" ht="15.75" customHeight="1" x14ac:dyDescent="0.25">
      <c r="B26" s="49"/>
      <c r="C26" s="103" t="s">
        <v>126</v>
      </c>
      <c r="D26" s="106"/>
      <c r="E26" s="103"/>
      <c r="F26" s="103"/>
      <c r="G26" s="25"/>
      <c r="H26" s="25"/>
      <c r="I26" s="104">
        <f>SUM(I20,I25)</f>
        <v>134.554</v>
      </c>
      <c r="J26" s="104"/>
      <c r="K26" s="104"/>
      <c r="L26" s="104"/>
      <c r="M26" s="104"/>
      <c r="N26" s="104"/>
      <c r="O26" s="104"/>
      <c r="P26" s="107"/>
      <c r="Q26" s="104">
        <f t="shared" ref="Q26:T26" si="4">SUM(Q20,Q25)</f>
        <v>26.467182000000001</v>
      </c>
      <c r="R26" s="104">
        <f t="shared" si="4"/>
        <v>11.343078</v>
      </c>
      <c r="S26" s="104">
        <f t="shared" si="4"/>
        <v>0</v>
      </c>
      <c r="T26" s="104">
        <f t="shared" si="4"/>
        <v>37.810260000000007</v>
      </c>
      <c r="U26" s="108"/>
      <c r="AF26" s="91"/>
      <c r="AG26" s="92"/>
      <c r="AH26" s="92"/>
      <c r="AI26" s="92"/>
      <c r="AJ26" s="92"/>
      <c r="AK26" s="92"/>
      <c r="AL26" s="92"/>
      <c r="AM26" s="92"/>
      <c r="AN26" s="91"/>
      <c r="AO26" s="93"/>
    </row>
    <row r="27" spans="2:42" ht="21.75" customHeight="1" thickBot="1" x14ac:dyDescent="0.3">
      <c r="B27" s="55" t="s">
        <v>141</v>
      </c>
      <c r="C27" s="42"/>
      <c r="D27" s="43"/>
      <c r="E27" s="41"/>
      <c r="F27" s="41"/>
      <c r="G27" s="44"/>
      <c r="H27" s="44"/>
      <c r="I27" s="125">
        <f>SUM(I26,I18)</f>
        <v>11446.7</v>
      </c>
      <c r="J27" s="125"/>
      <c r="K27" s="125"/>
      <c r="L27" s="125"/>
      <c r="M27" s="125"/>
      <c r="N27" s="125"/>
      <c r="O27" s="125"/>
      <c r="P27" s="45"/>
      <c r="Q27" s="125">
        <f t="shared" ref="Q27:T27" si="5">SUM(Q26,Q18)</f>
        <v>164.90058000000002</v>
      </c>
      <c r="R27" s="125">
        <f t="shared" si="5"/>
        <v>84.992580000000004</v>
      </c>
      <c r="S27" s="125">
        <f t="shared" si="5"/>
        <v>0</v>
      </c>
      <c r="T27" s="125">
        <f t="shared" si="5"/>
        <v>249.89315999999999</v>
      </c>
      <c r="U27" s="46"/>
      <c r="AF27" s="91"/>
      <c r="AG27" s="92"/>
      <c r="AH27" s="92"/>
      <c r="AI27" s="92"/>
      <c r="AJ27" s="92"/>
      <c r="AK27" s="92"/>
      <c r="AL27" s="92"/>
      <c r="AM27" s="92"/>
      <c r="AN27" s="91"/>
      <c r="AO27" s="93"/>
    </row>
    <row r="28" spans="2:42" x14ac:dyDescent="0.25">
      <c r="B28" s="8"/>
      <c r="C28" s="8"/>
      <c r="D28" s="8"/>
      <c r="E28" s="8"/>
      <c r="F28" s="8"/>
      <c r="AF28" s="176"/>
      <c r="AG28" s="177"/>
      <c r="AH28" s="177"/>
      <c r="AI28" s="177"/>
      <c r="AJ28" s="177"/>
      <c r="AK28" s="177"/>
      <c r="AL28" s="177"/>
      <c r="AM28" s="177"/>
      <c r="AN28" s="176"/>
      <c r="AO28" s="178"/>
      <c r="AP28" s="179"/>
    </row>
    <row r="29" spans="2:42" x14ac:dyDescent="0.25">
      <c r="B29" s="8"/>
      <c r="C29" s="8"/>
      <c r="D29" s="8"/>
      <c r="E29" s="8"/>
      <c r="F29" s="8"/>
      <c r="AF29" s="176"/>
      <c r="AG29" s="177"/>
      <c r="AH29" s="177"/>
      <c r="AI29" s="177"/>
      <c r="AJ29" s="177"/>
      <c r="AK29" s="177"/>
      <c r="AL29" s="177"/>
      <c r="AM29" s="177"/>
      <c r="AN29" s="176"/>
      <c r="AO29" s="178"/>
      <c r="AP29" s="179"/>
    </row>
    <row r="30" spans="2:42" x14ac:dyDescent="0.25">
      <c r="B30" s="8"/>
      <c r="C30" s="8"/>
      <c r="D30" s="8"/>
      <c r="E30" s="8"/>
      <c r="F30" s="8"/>
      <c r="I30" s="169"/>
      <c r="J30" s="169"/>
      <c r="K30" s="169"/>
      <c r="L30" s="169"/>
      <c r="M30" s="169"/>
      <c r="N30" s="169"/>
      <c r="O30" s="169"/>
      <c r="AF30" s="176"/>
      <c r="AG30" s="177"/>
      <c r="AH30" s="177"/>
      <c r="AI30" s="177"/>
      <c r="AJ30" s="177"/>
      <c r="AK30" s="177"/>
      <c r="AL30" s="177"/>
      <c r="AM30" s="177"/>
      <c r="AN30" s="176"/>
      <c r="AO30" s="178"/>
      <c r="AP30" s="179"/>
    </row>
    <row r="31" spans="2:42" x14ac:dyDescent="0.25">
      <c r="AF31" s="179"/>
      <c r="AG31" s="178"/>
      <c r="AH31" s="178"/>
      <c r="AI31" s="178"/>
      <c r="AJ31" s="178"/>
      <c r="AK31" s="178"/>
      <c r="AL31" s="178"/>
      <c r="AM31" s="178"/>
      <c r="AN31" s="178"/>
      <c r="AO31" s="178"/>
      <c r="AP31" s="179"/>
    </row>
    <row r="32" spans="2:42" x14ac:dyDescent="0.25">
      <c r="AF32" s="179"/>
      <c r="AG32" s="179"/>
      <c r="AH32" s="179"/>
      <c r="AI32" s="179"/>
      <c r="AJ32" s="179"/>
      <c r="AK32" s="179"/>
      <c r="AL32" s="179"/>
      <c r="AM32" s="179"/>
      <c r="AN32" s="179"/>
      <c r="AO32" s="179"/>
      <c r="AP32" s="179"/>
    </row>
    <row r="33" spans="32:42" x14ac:dyDescent="0.25">
      <c r="AF33" s="179"/>
      <c r="AG33" s="180"/>
      <c r="AH33" s="180"/>
      <c r="AI33" s="180"/>
      <c r="AJ33" s="180"/>
      <c r="AK33" s="180"/>
      <c r="AL33" s="180"/>
      <c r="AM33" s="180"/>
      <c r="AN33" s="179"/>
      <c r="AO33" s="179"/>
      <c r="AP33" s="179"/>
    </row>
    <row r="34" spans="32:42" x14ac:dyDescent="0.25">
      <c r="AF34" s="176"/>
      <c r="AG34" s="177"/>
      <c r="AH34" s="177"/>
      <c r="AI34" s="177"/>
      <c r="AJ34" s="177"/>
      <c r="AK34" s="177"/>
      <c r="AL34" s="177"/>
      <c r="AM34" s="177"/>
      <c r="AN34" s="176"/>
      <c r="AO34" s="178"/>
      <c r="AP34" s="179"/>
    </row>
    <row r="35" spans="32:42" x14ac:dyDescent="0.25">
      <c r="AF35" s="176"/>
      <c r="AG35" s="177"/>
      <c r="AH35" s="177"/>
      <c r="AI35" s="177"/>
      <c r="AJ35" s="177"/>
      <c r="AK35" s="177"/>
      <c r="AL35" s="177"/>
      <c r="AM35" s="177"/>
      <c r="AN35" s="176"/>
      <c r="AO35" s="178"/>
      <c r="AP35" s="179"/>
    </row>
    <row r="36" spans="32:42" x14ac:dyDescent="0.25">
      <c r="AF36" s="179"/>
      <c r="AG36" s="178"/>
      <c r="AH36" s="178"/>
      <c r="AI36" s="178"/>
      <c r="AJ36" s="178"/>
      <c r="AK36" s="178"/>
      <c r="AL36" s="178"/>
      <c r="AM36" s="178"/>
      <c r="AN36" s="178"/>
      <c r="AO36" s="178"/>
      <c r="AP36" s="179"/>
    </row>
    <row r="37" spans="32:42" x14ac:dyDescent="0.25">
      <c r="AF37" s="176"/>
      <c r="AG37" s="177"/>
      <c r="AH37" s="177"/>
      <c r="AI37" s="177"/>
      <c r="AJ37" s="177"/>
      <c r="AK37" s="177"/>
      <c r="AL37" s="177"/>
      <c r="AM37" s="177"/>
      <c r="AN37" s="176"/>
      <c r="AO37" s="178"/>
      <c r="AP37" s="179"/>
    </row>
    <row r="38" spans="32:42" x14ac:dyDescent="0.25">
      <c r="AF38" s="179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</row>
    <row r="39" spans="32:42" x14ac:dyDescent="0.25"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</row>
  </sheetData>
  <mergeCells count="15">
    <mergeCell ref="U22:U24"/>
    <mergeCell ref="U8:U9"/>
    <mergeCell ref="C8:E9"/>
    <mergeCell ref="F8:F9"/>
    <mergeCell ref="B1:U1"/>
    <mergeCell ref="B3:U3"/>
    <mergeCell ref="B4:U4"/>
    <mergeCell ref="B5:U5"/>
    <mergeCell ref="B6:U6"/>
    <mergeCell ref="B8:B9"/>
    <mergeCell ref="G8:I8"/>
    <mergeCell ref="P8:P9"/>
    <mergeCell ref="Q8:T8"/>
    <mergeCell ref="J8:K8"/>
    <mergeCell ref="L8:O8"/>
  </mergeCells>
  <pageMargins left="0.47" right="0.32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44"/>
  <sheetViews>
    <sheetView tabSelected="1" view="pageBreakPreview" zoomScale="89" zoomScaleNormal="85" zoomScaleSheetLayoutView="85" workbookViewId="0">
      <selection activeCell="E129" sqref="E129"/>
    </sheetView>
  </sheetViews>
  <sheetFormatPr defaultColWidth="8.77734375" defaultRowHeight="13.2" x14ac:dyDescent="0.25"/>
  <cols>
    <col min="1" max="1" width="2.109375" customWidth="1"/>
    <col min="2" max="2" width="4.44140625" customWidth="1"/>
    <col min="3" max="4" width="3.77734375" customWidth="1"/>
    <col min="5" max="5" width="44.44140625" customWidth="1"/>
    <col min="6" max="6" width="13.77734375" bestFit="1" customWidth="1"/>
    <col min="7" max="7" width="13.77734375" customWidth="1"/>
    <col min="8" max="13" width="5.44140625" bestFit="1" customWidth="1"/>
    <col min="14" max="14" width="9.33203125" bestFit="1" customWidth="1"/>
    <col min="15" max="15" width="9" bestFit="1" customWidth="1"/>
    <col min="16" max="16" width="8.6640625" bestFit="1" customWidth="1"/>
    <col min="17" max="17" width="14.44140625" bestFit="1" customWidth="1"/>
    <col min="18" max="18" width="15.44140625" bestFit="1" customWidth="1"/>
    <col min="19" max="19" width="32.44140625" customWidth="1"/>
    <col min="20" max="262" width="11.44140625" customWidth="1"/>
  </cols>
  <sheetData>
    <row r="1" spans="2:38" ht="15.75" customHeight="1" x14ac:dyDescent="0.25">
      <c r="B1" s="227" t="s">
        <v>101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</row>
    <row r="2" spans="2:38" ht="0.75" customHeight="1" x14ac:dyDescent="0.25"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13"/>
      <c r="W2" s="13"/>
      <c r="X2" s="13"/>
      <c r="Y2" s="13"/>
      <c r="Z2" s="13"/>
      <c r="AA2" s="13"/>
      <c r="AB2" s="13"/>
      <c r="AC2" s="13"/>
      <c r="AD2" s="15"/>
      <c r="AE2" s="13"/>
      <c r="AF2" s="13"/>
      <c r="AG2" s="13"/>
      <c r="AH2" s="13"/>
      <c r="AI2" s="13"/>
      <c r="AJ2" s="13"/>
      <c r="AK2" s="13"/>
      <c r="AL2" s="13"/>
    </row>
    <row r="3" spans="2:38" ht="13.8" x14ac:dyDescent="0.25">
      <c r="B3" s="227" t="s">
        <v>102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13"/>
      <c r="W3" s="13"/>
      <c r="X3" s="13"/>
      <c r="Y3" s="13"/>
      <c r="Z3" s="13"/>
      <c r="AA3" s="13"/>
      <c r="AB3" s="15"/>
      <c r="AC3" s="15"/>
      <c r="AD3" s="13"/>
      <c r="AE3" s="13"/>
      <c r="AF3" s="13"/>
      <c r="AG3" s="13"/>
      <c r="AH3" s="13"/>
      <c r="AI3" s="13"/>
      <c r="AJ3" s="13"/>
      <c r="AK3" s="15"/>
      <c r="AL3" s="15"/>
    </row>
    <row r="4" spans="2:38" ht="13.8" x14ac:dyDescent="0.25">
      <c r="B4" s="227" t="s">
        <v>259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13"/>
      <c r="W4" s="13"/>
      <c r="X4" s="13"/>
      <c r="Y4" s="13"/>
      <c r="Z4" s="13"/>
      <c r="AA4" s="13"/>
      <c r="AB4" s="15"/>
      <c r="AC4" s="15"/>
      <c r="AD4" s="13"/>
      <c r="AE4" s="13"/>
      <c r="AF4" s="13"/>
      <c r="AG4" s="13"/>
      <c r="AH4" s="13"/>
      <c r="AI4" s="13"/>
      <c r="AJ4" s="13"/>
      <c r="AK4" s="15"/>
      <c r="AL4" s="15"/>
    </row>
    <row r="5" spans="2:38" ht="8.25" customHeight="1" x14ac:dyDescent="0.25"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AD5" s="60"/>
      <c r="AE5" s="60"/>
      <c r="AF5" s="60"/>
      <c r="AG5" s="60"/>
      <c r="AH5" s="60"/>
      <c r="AI5" s="60"/>
      <c r="AK5" s="91"/>
    </row>
    <row r="6" spans="2:38" s="9" customFormat="1" ht="14.4" thickBot="1" x14ac:dyDescent="0.3">
      <c r="B6" s="227" t="s">
        <v>260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/>
      <c r="W6"/>
      <c r="X6"/>
      <c r="Y6"/>
      <c r="Z6"/>
      <c r="AA6"/>
      <c r="AB6"/>
      <c r="AC6" s="91"/>
      <c r="AD6" s="92"/>
      <c r="AE6" s="92"/>
      <c r="AF6" s="92"/>
      <c r="AG6" s="92"/>
      <c r="AH6" s="92"/>
      <c r="AI6" s="92"/>
      <c r="AJ6" s="92"/>
      <c r="AK6" s="91"/>
      <c r="AL6" s="93"/>
    </row>
    <row r="7" spans="2:38" ht="14.4" thickTop="1" thickBot="1" x14ac:dyDescent="0.3">
      <c r="B7" s="274" t="s">
        <v>91</v>
      </c>
      <c r="C7" s="56"/>
      <c r="D7" s="56"/>
      <c r="E7" s="258" t="s">
        <v>92</v>
      </c>
      <c r="F7" s="237" t="s">
        <v>116</v>
      </c>
      <c r="G7" s="238"/>
      <c r="H7" s="250" t="s">
        <v>214</v>
      </c>
      <c r="I7" s="251"/>
      <c r="J7" s="252" t="s">
        <v>215</v>
      </c>
      <c r="K7" s="253"/>
      <c r="L7" s="253"/>
      <c r="M7" s="254"/>
      <c r="N7" s="260" t="s">
        <v>258</v>
      </c>
      <c r="O7" s="240" t="s">
        <v>108</v>
      </c>
      <c r="P7" s="240"/>
      <c r="Q7" s="240"/>
      <c r="R7" s="240"/>
      <c r="S7" s="241" t="s">
        <v>94</v>
      </c>
    </row>
    <row r="8" spans="2:38" ht="26.4" x14ac:dyDescent="0.25">
      <c r="B8" s="275"/>
      <c r="C8" s="57"/>
      <c r="D8" s="57"/>
      <c r="E8" s="259"/>
      <c r="F8" s="25" t="s">
        <v>118</v>
      </c>
      <c r="G8" s="194" t="s">
        <v>117</v>
      </c>
      <c r="H8" s="25" t="s">
        <v>216</v>
      </c>
      <c r="I8" s="25" t="s">
        <v>217</v>
      </c>
      <c r="J8" s="193" t="s">
        <v>218</v>
      </c>
      <c r="K8" s="193" t="s">
        <v>219</v>
      </c>
      <c r="L8" s="193" t="s">
        <v>216</v>
      </c>
      <c r="M8" s="193" t="s">
        <v>216</v>
      </c>
      <c r="N8" s="261"/>
      <c r="O8" s="25" t="s">
        <v>113</v>
      </c>
      <c r="P8" s="25" t="s">
        <v>114</v>
      </c>
      <c r="Q8" s="21" t="s">
        <v>100</v>
      </c>
      <c r="R8" s="34" t="s">
        <v>90</v>
      </c>
      <c r="S8" s="242"/>
      <c r="U8" s="15"/>
    </row>
    <row r="9" spans="2:38" ht="15.6" x14ac:dyDescent="0.25">
      <c r="B9" s="70" t="s">
        <v>122</v>
      </c>
      <c r="C9" s="18" t="s">
        <v>121</v>
      </c>
      <c r="D9" s="69"/>
      <c r="E9" s="10"/>
      <c r="F9" s="12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32"/>
      <c r="U9" s="13"/>
    </row>
    <row r="10" spans="2:38" x14ac:dyDescent="0.25">
      <c r="B10" s="71"/>
      <c r="C10" s="77" t="s">
        <v>7</v>
      </c>
      <c r="D10" s="61" t="s">
        <v>95</v>
      </c>
      <c r="E10" s="63"/>
      <c r="F10" s="63"/>
      <c r="G10" s="63"/>
      <c r="H10" s="63"/>
      <c r="I10" s="63"/>
      <c r="J10" s="63"/>
      <c r="K10" s="63"/>
      <c r="L10" s="63"/>
      <c r="M10" s="63"/>
      <c r="N10" s="203"/>
      <c r="O10" s="63"/>
      <c r="P10" s="63"/>
      <c r="Q10" s="63"/>
      <c r="R10" s="63"/>
      <c r="S10" s="64"/>
      <c r="U10" s="13"/>
    </row>
    <row r="11" spans="2:38" x14ac:dyDescent="0.25">
      <c r="B11" s="72"/>
      <c r="C11" s="78"/>
      <c r="D11" s="77">
        <v>1</v>
      </c>
      <c r="E11" s="65" t="s">
        <v>8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4"/>
    </row>
    <row r="12" spans="2:38" x14ac:dyDescent="0.25">
      <c r="B12" s="73"/>
      <c r="C12" s="79"/>
      <c r="D12" s="79"/>
      <c r="E12" s="66" t="s">
        <v>9</v>
      </c>
      <c r="F12" s="16">
        <v>350000</v>
      </c>
      <c r="G12" s="16">
        <v>20</v>
      </c>
      <c r="H12" s="202"/>
      <c r="I12" s="202"/>
      <c r="J12" s="133"/>
      <c r="K12" s="133"/>
      <c r="L12" s="133"/>
      <c r="M12" s="133"/>
      <c r="N12" s="16">
        <v>20</v>
      </c>
      <c r="O12" s="132">
        <f>R12*0.77</f>
        <v>5.3900000000000006</v>
      </c>
      <c r="P12" s="132">
        <f>R12*0.23</f>
        <v>1.61</v>
      </c>
      <c r="Q12" s="132"/>
      <c r="R12" s="132">
        <f t="shared" ref="R12:R26" si="0">F12*G12/1000000</f>
        <v>7</v>
      </c>
      <c r="S12" s="271" t="s">
        <v>197</v>
      </c>
      <c r="T12" s="9"/>
    </row>
    <row r="13" spans="2:38" ht="14.25" customHeight="1" x14ac:dyDescent="0.25">
      <c r="B13" s="74"/>
      <c r="C13" s="80"/>
      <c r="D13" s="80"/>
      <c r="E13" s="67" t="s">
        <v>221</v>
      </c>
      <c r="F13" s="16">
        <v>200000</v>
      </c>
      <c r="G13" s="16">
        <v>4</v>
      </c>
      <c r="H13" s="202"/>
      <c r="I13" s="202"/>
      <c r="J13" s="133"/>
      <c r="K13" s="133"/>
      <c r="L13" s="133"/>
      <c r="M13" s="133"/>
      <c r="N13" s="16">
        <v>4</v>
      </c>
      <c r="O13" s="132">
        <f t="shared" ref="O13:O26" si="1">R13*0.77</f>
        <v>0.6160000000000001</v>
      </c>
      <c r="P13" s="132">
        <f t="shared" ref="P13:P26" si="2">R13*0.23</f>
        <v>0.18400000000000002</v>
      </c>
      <c r="Q13" s="132"/>
      <c r="R13" s="132">
        <f t="shared" si="0"/>
        <v>0.8</v>
      </c>
      <c r="S13" s="271"/>
    </row>
    <row r="14" spans="2:38" ht="14.25" customHeight="1" x14ac:dyDescent="0.25">
      <c r="B14" s="74"/>
      <c r="C14" s="80"/>
      <c r="D14" s="80"/>
      <c r="E14" s="67" t="s">
        <v>11</v>
      </c>
      <c r="F14" s="16">
        <v>200000</v>
      </c>
      <c r="G14" s="16">
        <v>1</v>
      </c>
      <c r="H14" s="202"/>
      <c r="I14" s="202"/>
      <c r="J14" s="133"/>
      <c r="K14" s="133"/>
      <c r="L14" s="133"/>
      <c r="M14" s="133"/>
      <c r="N14" s="16">
        <v>1</v>
      </c>
      <c r="O14" s="132">
        <f t="shared" si="1"/>
        <v>0.15400000000000003</v>
      </c>
      <c r="P14" s="132">
        <f t="shared" si="2"/>
        <v>4.6000000000000006E-2</v>
      </c>
      <c r="Q14" s="132"/>
      <c r="R14" s="132">
        <f t="shared" si="0"/>
        <v>0.2</v>
      </c>
      <c r="S14" s="271"/>
    </row>
    <row r="15" spans="2:38" ht="14.25" customHeight="1" x14ac:dyDescent="0.25">
      <c r="B15" s="74"/>
      <c r="C15" s="80"/>
      <c r="D15" s="80"/>
      <c r="E15" s="200" t="s">
        <v>222</v>
      </c>
      <c r="F15" s="16">
        <v>3000000</v>
      </c>
      <c r="G15" s="16">
        <v>1</v>
      </c>
      <c r="H15" s="202"/>
      <c r="I15" s="202"/>
      <c r="J15" s="133"/>
      <c r="K15" s="133"/>
      <c r="L15" s="133"/>
      <c r="M15" s="133"/>
      <c r="N15" s="16">
        <v>1</v>
      </c>
      <c r="O15" s="132">
        <f t="shared" si="1"/>
        <v>2.31</v>
      </c>
      <c r="P15" s="132">
        <f t="shared" si="2"/>
        <v>0.69000000000000006</v>
      </c>
      <c r="Q15" s="132"/>
      <c r="R15" s="132">
        <f t="shared" si="0"/>
        <v>3</v>
      </c>
      <c r="S15" s="271"/>
    </row>
    <row r="16" spans="2:38" ht="14.25" customHeight="1" x14ac:dyDescent="0.25">
      <c r="B16" s="74"/>
      <c r="C16" s="80"/>
      <c r="D16" s="80"/>
      <c r="E16" s="67" t="s">
        <v>13</v>
      </c>
      <c r="F16" s="16">
        <v>700000</v>
      </c>
      <c r="G16" s="16">
        <v>1</v>
      </c>
      <c r="H16" s="202"/>
      <c r="I16" s="202"/>
      <c r="J16" s="133"/>
      <c r="K16" s="133"/>
      <c r="L16" s="133"/>
      <c r="M16" s="133"/>
      <c r="N16" s="16">
        <v>1</v>
      </c>
      <c r="O16" s="132">
        <f t="shared" si="1"/>
        <v>0.53899999999999992</v>
      </c>
      <c r="P16" s="132">
        <f t="shared" si="2"/>
        <v>0.161</v>
      </c>
      <c r="Q16" s="132"/>
      <c r="R16" s="132">
        <f t="shared" si="0"/>
        <v>0.7</v>
      </c>
      <c r="S16" s="271"/>
    </row>
    <row r="17" spans="2:20" ht="14.25" customHeight="1" x14ac:dyDescent="0.25">
      <c r="B17" s="74"/>
      <c r="C17" s="80"/>
      <c r="D17" s="80"/>
      <c r="E17" s="67" t="s">
        <v>14</v>
      </c>
      <c r="F17" s="16">
        <v>150000</v>
      </c>
      <c r="G17" s="16">
        <v>15</v>
      </c>
      <c r="H17" s="202"/>
      <c r="I17" s="202"/>
      <c r="J17" s="133"/>
      <c r="K17" s="133"/>
      <c r="L17" s="133"/>
      <c r="M17" s="133"/>
      <c r="N17" s="16">
        <v>15</v>
      </c>
      <c r="O17" s="132">
        <f t="shared" si="1"/>
        <v>1.7324999999999999</v>
      </c>
      <c r="P17" s="132">
        <f t="shared" si="2"/>
        <v>0.51750000000000007</v>
      </c>
      <c r="Q17" s="132"/>
      <c r="R17" s="132">
        <f t="shared" si="0"/>
        <v>2.25</v>
      </c>
      <c r="S17" s="271"/>
      <c r="T17" s="168"/>
    </row>
    <row r="18" spans="2:20" x14ac:dyDescent="0.25">
      <c r="B18" s="74"/>
      <c r="C18" s="80"/>
      <c r="D18" s="80"/>
      <c r="E18" s="67" t="s">
        <v>15</v>
      </c>
      <c r="F18" s="16">
        <v>250000</v>
      </c>
      <c r="G18" s="16">
        <v>20</v>
      </c>
      <c r="H18" s="202"/>
      <c r="I18" s="202"/>
      <c r="J18" s="133"/>
      <c r="K18" s="133"/>
      <c r="L18" s="133"/>
      <c r="M18" s="133"/>
      <c r="N18" s="16">
        <v>20</v>
      </c>
      <c r="O18" s="132">
        <f t="shared" si="1"/>
        <v>3.85</v>
      </c>
      <c r="P18" s="132">
        <f t="shared" si="2"/>
        <v>1.1500000000000001</v>
      </c>
      <c r="Q18" s="132"/>
      <c r="R18" s="132">
        <f t="shared" si="0"/>
        <v>5</v>
      </c>
      <c r="S18" s="271"/>
    </row>
    <row r="19" spans="2:20" x14ac:dyDescent="0.25">
      <c r="B19" s="74"/>
      <c r="C19" s="80"/>
      <c r="D19" s="80"/>
      <c r="E19" s="68" t="str">
        <f>[2]GOODS!$C$43</f>
        <v>Air Conditioners (DC Inverter)</v>
      </c>
      <c r="F19" s="16">
        <v>275000</v>
      </c>
      <c r="G19" s="16">
        <v>15</v>
      </c>
      <c r="H19" s="202"/>
      <c r="I19" s="202"/>
      <c r="J19" s="133"/>
      <c r="K19" s="133"/>
      <c r="L19" s="133"/>
      <c r="M19" s="133"/>
      <c r="N19" s="16">
        <v>15</v>
      </c>
      <c r="O19" s="132">
        <f t="shared" si="1"/>
        <v>3.17625</v>
      </c>
      <c r="P19" s="132">
        <f t="shared" si="2"/>
        <v>0.94875000000000009</v>
      </c>
      <c r="Q19" s="132"/>
      <c r="R19" s="132">
        <f t="shared" si="0"/>
        <v>4.125</v>
      </c>
      <c r="S19" s="271"/>
    </row>
    <row r="20" spans="2:20" x14ac:dyDescent="0.25">
      <c r="B20" s="74"/>
      <c r="C20" s="80"/>
      <c r="D20" s="80"/>
      <c r="E20" s="201" t="s">
        <v>223</v>
      </c>
      <c r="F20" s="16">
        <v>450000</v>
      </c>
      <c r="G20" s="16">
        <v>1</v>
      </c>
      <c r="H20" s="202"/>
      <c r="I20" s="202"/>
      <c r="J20" s="133"/>
      <c r="K20" s="133"/>
      <c r="L20" s="133"/>
      <c r="M20" s="133"/>
      <c r="N20" s="16">
        <v>1</v>
      </c>
      <c r="O20" s="132">
        <f t="shared" si="1"/>
        <v>0.34650000000000003</v>
      </c>
      <c r="P20" s="132">
        <f t="shared" si="2"/>
        <v>0.10350000000000001</v>
      </c>
      <c r="Q20" s="132"/>
      <c r="R20" s="132">
        <f t="shared" si="0"/>
        <v>0.45</v>
      </c>
      <c r="S20" s="271"/>
    </row>
    <row r="21" spans="2:20" x14ac:dyDescent="0.25">
      <c r="B21" s="74"/>
      <c r="C21" s="80"/>
      <c r="D21" s="80"/>
      <c r="E21" s="201" t="s">
        <v>224</v>
      </c>
      <c r="F21" s="16">
        <v>300000</v>
      </c>
      <c r="G21" s="16">
        <v>1</v>
      </c>
      <c r="H21" s="202"/>
      <c r="I21" s="202"/>
      <c r="J21" s="133"/>
      <c r="K21" s="133"/>
      <c r="L21" s="133"/>
      <c r="M21" s="133"/>
      <c r="N21" s="16">
        <v>1</v>
      </c>
      <c r="O21" s="132">
        <f t="shared" si="1"/>
        <v>0.23099999999999998</v>
      </c>
      <c r="P21" s="132">
        <f t="shared" si="2"/>
        <v>6.9000000000000006E-2</v>
      </c>
      <c r="Q21" s="132"/>
      <c r="R21" s="132">
        <f t="shared" si="0"/>
        <v>0.3</v>
      </c>
      <c r="S21" s="271"/>
    </row>
    <row r="22" spans="2:20" x14ac:dyDescent="0.25">
      <c r="B22" s="74"/>
      <c r="C22" s="80"/>
      <c r="D22" s="80"/>
      <c r="E22" s="201" t="s">
        <v>225</v>
      </c>
      <c r="F22" s="16">
        <v>1500000</v>
      </c>
      <c r="G22" s="16">
        <v>1</v>
      </c>
      <c r="H22" s="202"/>
      <c r="I22" s="202"/>
      <c r="J22" s="133"/>
      <c r="K22" s="133"/>
      <c r="L22" s="133"/>
      <c r="M22" s="133"/>
      <c r="N22" s="16">
        <v>1</v>
      </c>
      <c r="O22" s="132">
        <f t="shared" si="1"/>
        <v>1.155</v>
      </c>
      <c r="P22" s="132">
        <f t="shared" si="2"/>
        <v>0.34500000000000003</v>
      </c>
      <c r="Q22" s="132"/>
      <c r="R22" s="132">
        <f t="shared" si="0"/>
        <v>1.5</v>
      </c>
      <c r="S22" s="271"/>
    </row>
    <row r="23" spans="2:20" ht="16.95" customHeight="1" x14ac:dyDescent="0.25">
      <c r="B23" s="74"/>
      <c r="C23" s="80"/>
      <c r="D23" s="80"/>
      <c r="E23" s="201" t="s">
        <v>226</v>
      </c>
      <c r="F23" s="16">
        <v>350000</v>
      </c>
      <c r="G23" s="16">
        <v>2</v>
      </c>
      <c r="H23" s="202"/>
      <c r="I23" s="202"/>
      <c r="J23" s="133"/>
      <c r="K23" s="133"/>
      <c r="L23" s="133"/>
      <c r="M23" s="133"/>
      <c r="N23" s="16">
        <v>2</v>
      </c>
      <c r="O23" s="132">
        <f t="shared" si="1"/>
        <v>0.53899999999999992</v>
      </c>
      <c r="P23" s="132">
        <f t="shared" si="2"/>
        <v>0.161</v>
      </c>
      <c r="Q23" s="132"/>
      <c r="R23" s="132">
        <f t="shared" si="0"/>
        <v>0.7</v>
      </c>
      <c r="S23" s="271"/>
    </row>
    <row r="24" spans="2:20" x14ac:dyDescent="0.25">
      <c r="B24" s="74"/>
      <c r="C24" s="80"/>
      <c r="D24" s="80"/>
      <c r="E24" s="68" t="s">
        <v>71</v>
      </c>
      <c r="F24" s="16">
        <v>61000</v>
      </c>
      <c r="G24" s="16">
        <v>1</v>
      </c>
      <c r="H24" s="202"/>
      <c r="I24" s="202"/>
      <c r="J24" s="133"/>
      <c r="K24" s="133"/>
      <c r="L24" s="133"/>
      <c r="M24" s="133"/>
      <c r="N24" s="16">
        <v>1</v>
      </c>
      <c r="O24" s="132">
        <f t="shared" si="1"/>
        <v>4.6969999999999998E-2</v>
      </c>
      <c r="P24" s="132">
        <f t="shared" si="2"/>
        <v>1.4030000000000001E-2</v>
      </c>
      <c r="Q24" s="132"/>
      <c r="R24" s="132">
        <f t="shared" si="0"/>
        <v>6.0999999999999999E-2</v>
      </c>
      <c r="S24" s="271"/>
    </row>
    <row r="25" spans="2:20" x14ac:dyDescent="0.25">
      <c r="B25" s="74"/>
      <c r="C25" s="80"/>
      <c r="D25" s="80"/>
      <c r="E25" s="68" t="s">
        <v>227</v>
      </c>
      <c r="F25" s="16">
        <v>500000</v>
      </c>
      <c r="G25" s="16">
        <v>1</v>
      </c>
      <c r="H25" s="202"/>
      <c r="I25" s="202"/>
      <c r="J25" s="133"/>
      <c r="K25" s="133"/>
      <c r="L25" s="133"/>
      <c r="M25" s="133"/>
      <c r="N25" s="16">
        <v>1</v>
      </c>
      <c r="O25" s="132">
        <f t="shared" si="1"/>
        <v>0.38500000000000001</v>
      </c>
      <c r="P25" s="132">
        <f t="shared" si="2"/>
        <v>0.115</v>
      </c>
      <c r="Q25" s="132"/>
      <c r="R25" s="132">
        <f t="shared" si="0"/>
        <v>0.5</v>
      </c>
      <c r="S25" s="271"/>
    </row>
    <row r="26" spans="2:20" x14ac:dyDescent="0.25">
      <c r="B26" s="74"/>
      <c r="C26" s="80"/>
      <c r="D26" s="82"/>
      <c r="E26" s="68" t="s">
        <v>29</v>
      </c>
      <c r="F26" s="16">
        <v>5000000</v>
      </c>
      <c r="G26" s="16">
        <v>1</v>
      </c>
      <c r="H26" s="202"/>
      <c r="I26" s="202"/>
      <c r="J26" s="202"/>
      <c r="K26" s="202"/>
      <c r="L26" s="202"/>
      <c r="M26" s="202"/>
      <c r="N26" s="16">
        <v>1</v>
      </c>
      <c r="O26" s="132">
        <f t="shared" si="1"/>
        <v>3.85</v>
      </c>
      <c r="P26" s="132">
        <f t="shared" si="2"/>
        <v>1.1500000000000001</v>
      </c>
      <c r="Q26" s="132"/>
      <c r="R26" s="132">
        <f t="shared" si="0"/>
        <v>5</v>
      </c>
      <c r="S26" s="271"/>
    </row>
    <row r="27" spans="2:20" x14ac:dyDescent="0.25">
      <c r="B27" s="74"/>
      <c r="C27" s="80"/>
      <c r="D27" s="103" t="s">
        <v>126</v>
      </c>
      <c r="E27" s="129"/>
      <c r="F27" s="130"/>
      <c r="G27" s="143"/>
      <c r="H27" s="143"/>
      <c r="I27" s="143"/>
      <c r="J27" s="143"/>
      <c r="K27" s="143"/>
      <c r="L27" s="143"/>
      <c r="M27" s="143"/>
      <c r="N27" s="122"/>
      <c r="O27" s="122">
        <f>SUM(O12:O26)</f>
        <v>24.321220000000007</v>
      </c>
      <c r="P27" s="122">
        <f>SUM(P12:P26)</f>
        <v>7.2647800000000009</v>
      </c>
      <c r="Q27" s="122">
        <f t="shared" ref="Q27:R27" si="3">SUM(Q12:Q26)</f>
        <v>0</v>
      </c>
      <c r="R27" s="122">
        <f t="shared" si="3"/>
        <v>31.585999999999999</v>
      </c>
      <c r="S27" s="131"/>
      <c r="T27" s="168"/>
    </row>
    <row r="28" spans="2:20" ht="16.95" customHeight="1" x14ac:dyDescent="0.25">
      <c r="B28" s="75"/>
      <c r="C28" s="81"/>
      <c r="D28" s="83">
        <v>2</v>
      </c>
      <c r="E28" s="62" t="s">
        <v>16</v>
      </c>
      <c r="F28" s="128"/>
      <c r="G28" s="145"/>
      <c r="H28" s="145"/>
      <c r="I28" s="145"/>
      <c r="J28" s="145"/>
      <c r="K28" s="145"/>
      <c r="L28" s="145"/>
      <c r="M28" s="145"/>
      <c r="N28" s="128"/>
      <c r="O28" s="146"/>
      <c r="P28" s="146"/>
      <c r="Q28" s="146"/>
      <c r="R28" s="132">
        <f>F28*G28/1000000</f>
        <v>0</v>
      </c>
      <c r="S28" s="64"/>
    </row>
    <row r="29" spans="2:20" x14ac:dyDescent="0.25">
      <c r="B29" s="74"/>
      <c r="C29" s="80"/>
      <c r="D29" s="80"/>
      <c r="E29" s="67" t="s">
        <v>17</v>
      </c>
      <c r="F29" s="16">
        <v>14000000</v>
      </c>
      <c r="G29" s="16">
        <v>5</v>
      </c>
      <c r="H29" s="202"/>
      <c r="I29" s="202"/>
      <c r="J29" s="133"/>
      <c r="K29" s="133"/>
      <c r="L29" s="133"/>
      <c r="M29" s="133"/>
      <c r="N29" s="16">
        <v>5</v>
      </c>
      <c r="O29" s="132">
        <f t="shared" ref="O29:O31" si="4">R29*0.77</f>
        <v>53.9</v>
      </c>
      <c r="P29" s="132">
        <f t="shared" ref="P29:P31" si="5">R29*0.23</f>
        <v>16.100000000000001</v>
      </c>
      <c r="Q29" s="132">
        <f>((F29*N29/100)*0)/1000000</f>
        <v>0</v>
      </c>
      <c r="R29" s="132">
        <f>F29*G29/1000000</f>
        <v>70</v>
      </c>
      <c r="S29" s="271" t="s">
        <v>197</v>
      </c>
    </row>
    <row r="30" spans="2:20" x14ac:dyDescent="0.25">
      <c r="B30" s="74"/>
      <c r="C30" s="80"/>
      <c r="D30" s="80"/>
      <c r="E30" s="67" t="s">
        <v>142</v>
      </c>
      <c r="F30" s="16">
        <v>5000000</v>
      </c>
      <c r="G30" s="16">
        <v>3</v>
      </c>
      <c r="H30" s="202"/>
      <c r="I30" s="202"/>
      <c r="J30" s="133"/>
      <c r="K30" s="133"/>
      <c r="L30" s="133"/>
      <c r="M30" s="133"/>
      <c r="N30" s="16">
        <v>3</v>
      </c>
      <c r="O30" s="132">
        <f t="shared" si="4"/>
        <v>11.55</v>
      </c>
      <c r="P30" s="132">
        <f t="shared" si="5"/>
        <v>3.45</v>
      </c>
      <c r="Q30" s="132">
        <f>((F30*N30/100)*0)/1000000</f>
        <v>0</v>
      </c>
      <c r="R30" s="132">
        <f>F30*G30/1000000</f>
        <v>15</v>
      </c>
      <c r="S30" s="271"/>
    </row>
    <row r="31" spans="2:20" x14ac:dyDescent="0.25">
      <c r="B31" s="74"/>
      <c r="C31" s="80"/>
      <c r="D31" s="82"/>
      <c r="E31" s="67" t="s">
        <v>5</v>
      </c>
      <c r="F31" s="16">
        <v>150000</v>
      </c>
      <c r="G31" s="16">
        <v>2</v>
      </c>
      <c r="H31" s="202"/>
      <c r="I31" s="202"/>
      <c r="J31" s="133"/>
      <c r="K31" s="133"/>
      <c r="L31" s="133"/>
      <c r="M31" s="133"/>
      <c r="N31" s="16">
        <v>2</v>
      </c>
      <c r="O31" s="132">
        <f t="shared" si="4"/>
        <v>0.23099999999999998</v>
      </c>
      <c r="P31" s="132">
        <f t="shared" si="5"/>
        <v>6.9000000000000006E-2</v>
      </c>
      <c r="Q31" s="132">
        <f>((F31*N31/100)*0)/1000000</f>
        <v>0</v>
      </c>
      <c r="R31" s="132">
        <f>F31*G31/1000000</f>
        <v>0.3</v>
      </c>
      <c r="S31" s="271"/>
    </row>
    <row r="32" spans="2:20" x14ac:dyDescent="0.25">
      <c r="B32" s="74"/>
      <c r="C32" s="80"/>
      <c r="D32" s="103" t="s">
        <v>126</v>
      </c>
      <c r="E32" s="135"/>
      <c r="F32" s="136"/>
      <c r="G32" s="147"/>
      <c r="H32" s="147"/>
      <c r="I32" s="147"/>
      <c r="J32" s="147"/>
      <c r="K32" s="147"/>
      <c r="L32" s="147"/>
      <c r="M32" s="147"/>
      <c r="N32" s="136"/>
      <c r="O32" s="122">
        <f>SUM(O29:O31)</f>
        <v>65.680999999999997</v>
      </c>
      <c r="P32" s="122">
        <f t="shared" ref="P32:R32" si="6">SUM(P29:P31)</f>
        <v>19.619</v>
      </c>
      <c r="Q32" s="122">
        <f t="shared" si="6"/>
        <v>0</v>
      </c>
      <c r="R32" s="122">
        <f t="shared" si="6"/>
        <v>85.3</v>
      </c>
      <c r="S32" s="131"/>
    </row>
    <row r="33" spans="2:19" x14ac:dyDescent="0.25">
      <c r="B33" s="75"/>
      <c r="C33" s="81"/>
      <c r="D33" s="83">
        <v>3</v>
      </c>
      <c r="E33" s="62" t="s">
        <v>18</v>
      </c>
      <c r="F33" s="98"/>
      <c r="G33" s="148"/>
      <c r="H33" s="148"/>
      <c r="I33" s="148"/>
      <c r="J33" s="148"/>
      <c r="K33" s="148"/>
      <c r="L33" s="148"/>
      <c r="M33" s="148"/>
      <c r="N33" s="98"/>
      <c r="O33" s="149"/>
      <c r="P33" s="149"/>
      <c r="Q33" s="149"/>
      <c r="R33" s="149"/>
      <c r="S33" s="28"/>
    </row>
    <row r="34" spans="2:19" x14ac:dyDescent="0.25">
      <c r="B34" s="74"/>
      <c r="C34" s="80"/>
      <c r="D34" s="80"/>
      <c r="E34" s="67" t="s">
        <v>143</v>
      </c>
      <c r="F34" s="16">
        <v>5000000</v>
      </c>
      <c r="G34" s="16">
        <v>5</v>
      </c>
      <c r="H34" s="133"/>
      <c r="I34" s="202"/>
      <c r="J34" s="202"/>
      <c r="K34" s="133"/>
      <c r="L34" s="133"/>
      <c r="M34" s="133"/>
      <c r="N34" s="16">
        <v>1</v>
      </c>
      <c r="O34" s="134">
        <f>R34*0.46</f>
        <v>2.4154600000000004</v>
      </c>
      <c r="P34" s="132">
        <f>R34*0.42</f>
        <v>2.2054200000000002</v>
      </c>
      <c r="Q34" s="132">
        <f>R34*0.12</f>
        <v>0.63012000000000001</v>
      </c>
      <c r="R34" s="132">
        <v>5.2510000000000003</v>
      </c>
      <c r="S34" s="271" t="s">
        <v>96</v>
      </c>
    </row>
    <row r="35" spans="2:19" x14ac:dyDescent="0.25">
      <c r="B35" s="74"/>
      <c r="C35" s="80"/>
      <c r="D35" s="80"/>
      <c r="E35" s="67" t="s">
        <v>48</v>
      </c>
      <c r="F35" s="16">
        <v>3426038</v>
      </c>
      <c r="G35" s="16">
        <v>1</v>
      </c>
      <c r="H35" s="133"/>
      <c r="I35" s="202"/>
      <c r="J35" s="202"/>
      <c r="K35" s="133"/>
      <c r="L35" s="133"/>
      <c r="M35" s="133"/>
      <c r="N35" s="16">
        <v>1</v>
      </c>
      <c r="O35" s="134">
        <f>R35*0.46</f>
        <v>1.6550800000000001</v>
      </c>
      <c r="P35" s="132">
        <f>R35*0.42</f>
        <v>1.5111599999999998</v>
      </c>
      <c r="Q35" s="132">
        <f>R35*0.12</f>
        <v>0.43175999999999998</v>
      </c>
      <c r="R35" s="132">
        <v>3.5979999999999999</v>
      </c>
      <c r="S35" s="271"/>
    </row>
    <row r="36" spans="2:19" x14ac:dyDescent="0.25">
      <c r="B36" s="74"/>
      <c r="C36" s="80"/>
      <c r="D36" s="80"/>
      <c r="E36" s="67" t="s">
        <v>144</v>
      </c>
      <c r="F36" s="16">
        <v>2000000</v>
      </c>
      <c r="G36" s="16">
        <v>5</v>
      </c>
      <c r="H36" s="133"/>
      <c r="I36" s="133"/>
      <c r="J36" s="133"/>
      <c r="K36" s="133"/>
      <c r="L36" s="133"/>
      <c r="M36" s="133"/>
      <c r="N36" s="16">
        <v>0</v>
      </c>
      <c r="O36" s="134">
        <f>((F36*N36/100)*46/1000000)</f>
        <v>0</v>
      </c>
      <c r="P36" s="132">
        <f>((F36*N36/100)*42)/1000000</f>
        <v>0</v>
      </c>
      <c r="Q36" s="132">
        <f>((F36*N36/100)*12)/1000000</f>
        <v>0</v>
      </c>
      <c r="R36" s="132">
        <v>0</v>
      </c>
      <c r="S36" s="271"/>
    </row>
    <row r="37" spans="2:19" x14ac:dyDescent="0.25">
      <c r="B37" s="74"/>
      <c r="C37" s="80"/>
      <c r="D37" s="80"/>
      <c r="E37" s="67" t="s">
        <v>73</v>
      </c>
      <c r="F37" s="16">
        <v>2000000</v>
      </c>
      <c r="G37" s="16">
        <v>2</v>
      </c>
      <c r="H37" s="133"/>
      <c r="I37" s="133"/>
      <c r="J37" s="133"/>
      <c r="K37" s="133"/>
      <c r="L37" s="133"/>
      <c r="M37" s="133"/>
      <c r="N37" s="16">
        <v>0</v>
      </c>
      <c r="O37" s="134">
        <f>((F37*N37/100)*46/1000000)</f>
        <v>0</v>
      </c>
      <c r="P37" s="132">
        <f>((F37*N37/100)*42)/1000000</f>
        <v>0</v>
      </c>
      <c r="Q37" s="132">
        <f>((F37*N37/100)*12)/1000000</f>
        <v>0</v>
      </c>
      <c r="R37" s="132">
        <v>0</v>
      </c>
      <c r="S37" s="271"/>
    </row>
    <row r="38" spans="2:19" x14ac:dyDescent="0.25">
      <c r="B38" s="74"/>
      <c r="C38" s="80"/>
      <c r="D38" s="82"/>
      <c r="E38" s="67" t="s">
        <v>72</v>
      </c>
      <c r="F38" s="16">
        <v>5000000</v>
      </c>
      <c r="G38" s="16">
        <v>1</v>
      </c>
      <c r="H38" s="133"/>
      <c r="I38" s="133"/>
      <c r="J38" s="133"/>
      <c r="K38" s="133"/>
      <c r="L38" s="133"/>
      <c r="M38" s="133"/>
      <c r="N38" s="16">
        <v>0</v>
      </c>
      <c r="O38" s="134">
        <f>((F38*N38/100)*46/1000000)</f>
        <v>0</v>
      </c>
      <c r="P38" s="132">
        <f>((F38*N38/100)*42)/1000000</f>
        <v>0</v>
      </c>
      <c r="Q38" s="132">
        <f>((F38*N38/100)*12)/1000000</f>
        <v>0</v>
      </c>
      <c r="R38" s="132">
        <v>0</v>
      </c>
      <c r="S38" s="271"/>
    </row>
    <row r="39" spans="2:19" x14ac:dyDescent="0.25">
      <c r="B39" s="74"/>
      <c r="C39" s="82"/>
      <c r="D39" s="103" t="s">
        <v>126</v>
      </c>
      <c r="E39" s="135"/>
      <c r="F39" s="136"/>
      <c r="G39" s="147"/>
      <c r="H39" s="147"/>
      <c r="I39" s="147"/>
      <c r="J39" s="147"/>
      <c r="K39" s="147"/>
      <c r="L39" s="147"/>
      <c r="M39" s="147"/>
      <c r="N39" s="136"/>
      <c r="O39" s="122">
        <f t="shared" ref="O39:R39" si="7">SUM(O34:O38)</f>
        <v>4.0705400000000003</v>
      </c>
      <c r="P39" s="122">
        <f t="shared" si="7"/>
        <v>3.71658</v>
      </c>
      <c r="Q39" s="122">
        <f t="shared" si="7"/>
        <v>1.0618799999999999</v>
      </c>
      <c r="R39" s="122">
        <f t="shared" si="7"/>
        <v>8.8490000000000002</v>
      </c>
      <c r="S39" s="131"/>
    </row>
    <row r="40" spans="2:19" x14ac:dyDescent="0.25">
      <c r="B40" s="74"/>
      <c r="C40" s="137" t="s">
        <v>198</v>
      </c>
      <c r="D40" s="137"/>
      <c r="E40" s="138"/>
      <c r="F40" s="139"/>
      <c r="G40" s="150"/>
      <c r="H40" s="150"/>
      <c r="I40" s="150"/>
      <c r="J40" s="150"/>
      <c r="K40" s="150"/>
      <c r="L40" s="150"/>
      <c r="M40" s="150"/>
      <c r="N40" s="139"/>
      <c r="O40" s="151">
        <f t="shared" ref="O40:R40" si="8">SUM(O27,O32,O39)</f>
        <v>94.072760000000002</v>
      </c>
      <c r="P40" s="151">
        <f t="shared" si="8"/>
        <v>30.600360000000002</v>
      </c>
      <c r="Q40" s="151">
        <f t="shared" si="8"/>
        <v>1.0618799999999999</v>
      </c>
      <c r="R40" s="151">
        <f t="shared" si="8"/>
        <v>125.735</v>
      </c>
      <c r="S40" s="140"/>
    </row>
    <row r="41" spans="2:19" x14ac:dyDescent="0.25">
      <c r="B41" s="75"/>
      <c r="C41" s="83" t="s">
        <v>4</v>
      </c>
      <c r="D41" s="61" t="s">
        <v>19</v>
      </c>
      <c r="E41" s="61"/>
      <c r="F41" s="98"/>
      <c r="G41" s="148"/>
      <c r="H41" s="148"/>
      <c r="I41" s="148"/>
      <c r="J41" s="148"/>
      <c r="K41" s="148"/>
      <c r="L41" s="148"/>
      <c r="M41" s="148"/>
      <c r="N41" s="98"/>
      <c r="O41" s="149"/>
      <c r="P41" s="149"/>
      <c r="Q41" s="149"/>
      <c r="R41" s="149"/>
      <c r="S41" s="64"/>
    </row>
    <row r="42" spans="2:19" x14ac:dyDescent="0.25">
      <c r="B42" s="75"/>
      <c r="C42" s="81"/>
      <c r="D42" s="83">
        <v>1</v>
      </c>
      <c r="E42" s="62" t="s">
        <v>27</v>
      </c>
      <c r="F42" s="98"/>
      <c r="G42" s="148"/>
      <c r="H42" s="148"/>
      <c r="I42" s="148"/>
      <c r="J42" s="148"/>
      <c r="K42" s="148"/>
      <c r="L42" s="148"/>
      <c r="M42" s="148"/>
      <c r="N42" s="98"/>
      <c r="O42" s="149"/>
      <c r="P42" s="149"/>
      <c r="Q42" s="149"/>
      <c r="R42" s="149"/>
      <c r="S42" s="64"/>
    </row>
    <row r="43" spans="2:19" x14ac:dyDescent="0.25">
      <c r="B43" s="74"/>
      <c r="C43" s="80"/>
      <c r="D43" s="80"/>
      <c r="E43" s="67" t="s">
        <v>20</v>
      </c>
      <c r="F43" s="16">
        <v>350000</v>
      </c>
      <c r="G43" s="16">
        <f>5*5</f>
        <v>25</v>
      </c>
      <c r="H43" s="202"/>
      <c r="I43" s="202"/>
      <c r="J43" s="133"/>
      <c r="K43" s="133"/>
      <c r="L43" s="133"/>
      <c r="M43" s="133"/>
      <c r="N43" s="16">
        <v>16</v>
      </c>
      <c r="O43" s="132">
        <f t="shared" ref="O43:O53" si="9">R43*0.77</f>
        <v>6.7374999999999998</v>
      </c>
      <c r="P43" s="132">
        <f t="shared" ref="P43:P53" si="10">R43*0.23</f>
        <v>2.0125000000000002</v>
      </c>
      <c r="Q43" s="132">
        <f t="shared" ref="Q43:Q51" si="11">((F43*N43/100)*0)/1000000</f>
        <v>0</v>
      </c>
      <c r="R43" s="132">
        <f t="shared" ref="R43:R53" si="12">F43*G43/1000000</f>
        <v>8.75</v>
      </c>
      <c r="S43" s="271" t="s">
        <v>197</v>
      </c>
    </row>
    <row r="44" spans="2:19" x14ac:dyDescent="0.25">
      <c r="B44" s="74"/>
      <c r="C44" s="80"/>
      <c r="D44" s="80"/>
      <c r="E44" s="67" t="s">
        <v>21</v>
      </c>
      <c r="F44" s="16">
        <v>300000</v>
      </c>
      <c r="G44" s="16">
        <v>10</v>
      </c>
      <c r="H44" s="202"/>
      <c r="I44" s="202"/>
      <c r="J44" s="133"/>
      <c r="K44" s="133"/>
      <c r="L44" s="133"/>
      <c r="M44" s="133"/>
      <c r="N44" s="16">
        <v>8</v>
      </c>
      <c r="O44" s="132">
        <f t="shared" si="9"/>
        <v>2.31</v>
      </c>
      <c r="P44" s="132">
        <f t="shared" si="10"/>
        <v>0.69000000000000006</v>
      </c>
      <c r="Q44" s="132">
        <f t="shared" si="11"/>
        <v>0</v>
      </c>
      <c r="R44" s="132">
        <f t="shared" si="12"/>
        <v>3</v>
      </c>
      <c r="S44" s="271"/>
    </row>
    <row r="45" spans="2:19" x14ac:dyDescent="0.25">
      <c r="B45" s="74"/>
      <c r="C45" s="80"/>
      <c r="D45" s="80"/>
      <c r="E45" s="67" t="s">
        <v>22</v>
      </c>
      <c r="F45" s="16">
        <v>200000</v>
      </c>
      <c r="G45" s="16">
        <v>8</v>
      </c>
      <c r="H45" s="202"/>
      <c r="I45" s="202"/>
      <c r="J45" s="133"/>
      <c r="K45" s="133"/>
      <c r="L45" s="133"/>
      <c r="M45" s="133"/>
      <c r="N45" s="16">
        <v>8</v>
      </c>
      <c r="O45" s="132">
        <f t="shared" si="9"/>
        <v>1.2320000000000002</v>
      </c>
      <c r="P45" s="132">
        <f t="shared" si="10"/>
        <v>0.36800000000000005</v>
      </c>
      <c r="Q45" s="132">
        <f t="shared" si="11"/>
        <v>0</v>
      </c>
      <c r="R45" s="132">
        <f t="shared" si="12"/>
        <v>1.6</v>
      </c>
      <c r="S45" s="271"/>
    </row>
    <row r="46" spans="2:19" x14ac:dyDescent="0.25">
      <c r="B46" s="74"/>
      <c r="C46" s="80"/>
      <c r="D46" s="80"/>
      <c r="E46" s="67" t="s">
        <v>23</v>
      </c>
      <c r="F46" s="16">
        <v>700000</v>
      </c>
      <c r="G46" s="16">
        <v>4</v>
      </c>
      <c r="H46" s="202"/>
      <c r="I46" s="202"/>
      <c r="J46" s="133"/>
      <c r="K46" s="133"/>
      <c r="L46" s="133"/>
      <c r="M46" s="133"/>
      <c r="N46" s="16">
        <v>4</v>
      </c>
      <c r="O46" s="132">
        <f t="shared" si="9"/>
        <v>2.1559999999999997</v>
      </c>
      <c r="P46" s="132">
        <f t="shared" si="10"/>
        <v>0.64400000000000002</v>
      </c>
      <c r="Q46" s="132">
        <f t="shared" si="11"/>
        <v>0</v>
      </c>
      <c r="R46" s="132">
        <f t="shared" si="12"/>
        <v>2.8</v>
      </c>
      <c r="S46" s="271"/>
    </row>
    <row r="47" spans="2:19" x14ac:dyDescent="0.25">
      <c r="B47" s="74"/>
      <c r="C47" s="80"/>
      <c r="D47" s="80"/>
      <c r="E47" s="67" t="s">
        <v>223</v>
      </c>
      <c r="F47" s="16">
        <v>450000</v>
      </c>
      <c r="G47" s="16">
        <v>4</v>
      </c>
      <c r="H47" s="202"/>
      <c r="I47" s="202"/>
      <c r="J47" s="133"/>
      <c r="K47" s="133"/>
      <c r="L47" s="133"/>
      <c r="M47" s="133"/>
      <c r="N47" s="16">
        <v>4</v>
      </c>
      <c r="O47" s="132">
        <f t="shared" si="9"/>
        <v>1.3860000000000001</v>
      </c>
      <c r="P47" s="132">
        <f t="shared" si="10"/>
        <v>0.41400000000000003</v>
      </c>
      <c r="Q47" s="132">
        <f t="shared" si="11"/>
        <v>0</v>
      </c>
      <c r="R47" s="132">
        <f t="shared" si="12"/>
        <v>1.8</v>
      </c>
      <c r="S47" s="271"/>
    </row>
    <row r="48" spans="2:19" x14ac:dyDescent="0.25">
      <c r="B48" s="74"/>
      <c r="C48" s="80"/>
      <c r="D48" s="80"/>
      <c r="E48" s="67" t="s">
        <v>226</v>
      </c>
      <c r="F48" s="16">
        <v>350000</v>
      </c>
      <c r="G48" s="16">
        <v>4</v>
      </c>
      <c r="H48" s="202"/>
      <c r="I48" s="202"/>
      <c r="J48" s="133"/>
      <c r="K48" s="133"/>
      <c r="L48" s="133"/>
      <c r="M48" s="133"/>
      <c r="N48" s="16">
        <v>4</v>
      </c>
      <c r="O48" s="132">
        <f t="shared" si="9"/>
        <v>1.0779999999999998</v>
      </c>
      <c r="P48" s="132">
        <f t="shared" si="10"/>
        <v>0.32200000000000001</v>
      </c>
      <c r="Q48" s="132">
        <f t="shared" si="11"/>
        <v>0</v>
      </c>
      <c r="R48" s="132">
        <f t="shared" si="12"/>
        <v>1.4</v>
      </c>
      <c r="S48" s="271"/>
    </row>
    <row r="49" spans="2:19" x14ac:dyDescent="0.25">
      <c r="B49" s="74"/>
      <c r="C49" s="80"/>
      <c r="D49" s="80"/>
      <c r="E49" s="67" t="s">
        <v>25</v>
      </c>
      <c r="F49" s="16">
        <v>275000</v>
      </c>
      <c r="G49" s="16">
        <v>12</v>
      </c>
      <c r="H49" s="202"/>
      <c r="I49" s="202"/>
      <c r="J49" s="133"/>
      <c r="K49" s="133"/>
      <c r="L49" s="133"/>
      <c r="M49" s="133"/>
      <c r="N49" s="16">
        <v>12</v>
      </c>
      <c r="O49" s="132">
        <f t="shared" si="9"/>
        <v>2.5409999999999999</v>
      </c>
      <c r="P49" s="132">
        <f t="shared" si="10"/>
        <v>0.75900000000000001</v>
      </c>
      <c r="Q49" s="132">
        <f t="shared" si="11"/>
        <v>0</v>
      </c>
      <c r="R49" s="132">
        <f t="shared" si="12"/>
        <v>3.3</v>
      </c>
      <c r="S49" s="271"/>
    </row>
    <row r="50" spans="2:19" ht="16.95" customHeight="1" x14ac:dyDescent="0.25">
      <c r="B50" s="74"/>
      <c r="C50" s="80"/>
      <c r="D50" s="80"/>
      <c r="E50" s="67" t="s">
        <v>228</v>
      </c>
      <c r="F50" s="16">
        <v>2000000</v>
      </c>
      <c r="G50" s="16">
        <v>4</v>
      </c>
      <c r="H50" s="202"/>
      <c r="I50" s="202"/>
      <c r="J50" s="133"/>
      <c r="K50" s="133"/>
      <c r="L50" s="133"/>
      <c r="M50" s="133"/>
      <c r="N50" s="16">
        <v>4</v>
      </c>
      <c r="O50" s="132">
        <f t="shared" si="9"/>
        <v>6.16</v>
      </c>
      <c r="P50" s="132">
        <f t="shared" si="10"/>
        <v>1.84</v>
      </c>
      <c r="Q50" s="132">
        <f t="shared" si="11"/>
        <v>0</v>
      </c>
      <c r="R50" s="132">
        <f t="shared" si="12"/>
        <v>8</v>
      </c>
      <c r="S50" s="271"/>
    </row>
    <row r="51" spans="2:19" x14ac:dyDescent="0.25">
      <c r="B51" s="74"/>
      <c r="C51" s="80"/>
      <c r="D51" s="80"/>
      <c r="E51" s="67" t="s">
        <v>229</v>
      </c>
      <c r="F51" s="16">
        <f>7*250000</f>
        <v>1750000</v>
      </c>
      <c r="G51" s="16">
        <v>4</v>
      </c>
      <c r="H51" s="202"/>
      <c r="I51" s="202"/>
      <c r="J51" s="133"/>
      <c r="K51" s="133"/>
      <c r="L51" s="133"/>
      <c r="M51" s="133"/>
      <c r="N51" s="16">
        <v>4</v>
      </c>
      <c r="O51" s="132">
        <f t="shared" si="9"/>
        <v>5.3900000000000006</v>
      </c>
      <c r="P51" s="132">
        <f t="shared" si="10"/>
        <v>1.61</v>
      </c>
      <c r="Q51" s="132">
        <f t="shared" si="11"/>
        <v>0</v>
      </c>
      <c r="R51" s="132">
        <f t="shared" si="12"/>
        <v>7</v>
      </c>
      <c r="S51" s="271"/>
    </row>
    <row r="52" spans="2:19" x14ac:dyDescent="0.25">
      <c r="B52" s="74"/>
      <c r="C52" s="80"/>
      <c r="D52" s="80"/>
      <c r="E52" s="67" t="s">
        <v>224</v>
      </c>
      <c r="F52" s="16">
        <v>300000</v>
      </c>
      <c r="G52" s="16">
        <v>4</v>
      </c>
      <c r="H52" s="202"/>
      <c r="I52" s="202"/>
      <c r="J52" s="133"/>
      <c r="K52" s="133"/>
      <c r="L52" s="133"/>
      <c r="M52" s="133"/>
      <c r="N52" s="16">
        <v>4</v>
      </c>
      <c r="O52" s="132"/>
      <c r="P52" s="132"/>
      <c r="Q52" s="132"/>
      <c r="R52" s="132">
        <f t="shared" si="12"/>
        <v>1.2</v>
      </c>
      <c r="S52" s="271"/>
    </row>
    <row r="53" spans="2:19" x14ac:dyDescent="0.25">
      <c r="B53" s="74"/>
      <c r="C53" s="80"/>
      <c r="D53" s="82"/>
      <c r="E53" s="67" t="s">
        <v>29</v>
      </c>
      <c r="F53" s="16">
        <v>2000000</v>
      </c>
      <c r="G53" s="16">
        <v>4</v>
      </c>
      <c r="H53" s="202"/>
      <c r="I53" s="202"/>
      <c r="J53" s="202"/>
      <c r="K53" s="202"/>
      <c r="L53" s="202"/>
      <c r="M53" s="202"/>
      <c r="N53" s="16">
        <v>4</v>
      </c>
      <c r="O53" s="132">
        <f t="shared" si="9"/>
        <v>6.16</v>
      </c>
      <c r="P53" s="132">
        <f t="shared" si="10"/>
        <v>1.84</v>
      </c>
      <c r="Q53" s="132">
        <f>((F53*N53/100)*0)/1000000</f>
        <v>0</v>
      </c>
      <c r="R53" s="132">
        <f t="shared" si="12"/>
        <v>8</v>
      </c>
      <c r="S53" s="271"/>
    </row>
    <row r="54" spans="2:19" x14ac:dyDescent="0.25">
      <c r="B54" s="74"/>
      <c r="C54" s="80"/>
      <c r="D54" s="103" t="s">
        <v>126</v>
      </c>
      <c r="E54" s="135"/>
      <c r="F54" s="136"/>
      <c r="G54" s="122"/>
      <c r="H54" s="122"/>
      <c r="I54" s="122"/>
      <c r="J54" s="122"/>
      <c r="K54" s="122"/>
      <c r="L54" s="122"/>
      <c r="M54" s="122"/>
      <c r="N54" s="136"/>
      <c r="O54" s="122">
        <f t="shared" ref="O54:R54" si="13">SUM(O43:O53)</f>
        <v>35.150499999999994</v>
      </c>
      <c r="P54" s="122">
        <f t="shared" si="13"/>
        <v>10.499499999999999</v>
      </c>
      <c r="Q54" s="122">
        <f t="shared" si="13"/>
        <v>0</v>
      </c>
      <c r="R54" s="122">
        <f t="shared" si="13"/>
        <v>46.85</v>
      </c>
      <c r="S54" s="131"/>
    </row>
    <row r="55" spans="2:19" ht="24.75" customHeight="1" x14ac:dyDescent="0.25">
      <c r="B55" s="75"/>
      <c r="C55" s="81"/>
      <c r="D55" s="83">
        <v>2</v>
      </c>
      <c r="E55" s="62" t="s">
        <v>146</v>
      </c>
      <c r="F55" s="98"/>
      <c r="G55" s="149"/>
      <c r="H55" s="149"/>
      <c r="I55" s="149"/>
      <c r="J55" s="149"/>
      <c r="K55" s="149"/>
      <c r="L55" s="149"/>
      <c r="M55" s="149"/>
      <c r="N55" s="98"/>
      <c r="O55" s="149"/>
      <c r="P55" s="149"/>
      <c r="Q55" s="149"/>
      <c r="R55" s="132">
        <f>F55*G55/1000000</f>
        <v>0</v>
      </c>
      <c r="S55" s="64"/>
    </row>
    <row r="56" spans="2:19" x14ac:dyDescent="0.25">
      <c r="B56" s="74"/>
      <c r="C56" s="80"/>
      <c r="D56" s="80"/>
      <c r="E56" s="67" t="s">
        <v>17</v>
      </c>
      <c r="F56" s="16">
        <v>14000000</v>
      </c>
      <c r="G56" s="16">
        <v>12</v>
      </c>
      <c r="H56" s="202"/>
      <c r="I56" s="202"/>
      <c r="J56" s="133"/>
      <c r="K56" s="133"/>
      <c r="L56" s="133"/>
      <c r="M56" s="133"/>
      <c r="N56" s="16">
        <v>12</v>
      </c>
      <c r="O56" s="132">
        <f t="shared" ref="O56:O58" si="14">R56*0.77</f>
        <v>129.36000000000001</v>
      </c>
      <c r="P56" s="132">
        <f t="shared" ref="P56:P58" si="15">R56*0.23</f>
        <v>38.64</v>
      </c>
      <c r="Q56" s="132">
        <f>((F56*N56/100)*0)/1000000</f>
        <v>0</v>
      </c>
      <c r="R56" s="132">
        <f>F56*G56/1000000</f>
        <v>168</v>
      </c>
      <c r="S56" s="271" t="s">
        <v>197</v>
      </c>
    </row>
    <row r="57" spans="2:19" x14ac:dyDescent="0.25">
      <c r="B57" s="74"/>
      <c r="C57" s="80"/>
      <c r="D57" s="80"/>
      <c r="E57" s="67" t="s">
        <v>147</v>
      </c>
      <c r="F57" s="16">
        <v>5000000</v>
      </c>
      <c r="G57" s="16">
        <v>8</v>
      </c>
      <c r="H57" s="202"/>
      <c r="I57" s="202"/>
      <c r="J57" s="133"/>
      <c r="K57" s="133"/>
      <c r="L57" s="133"/>
      <c r="M57" s="133"/>
      <c r="N57" s="16">
        <v>8</v>
      </c>
      <c r="O57" s="132">
        <f t="shared" si="14"/>
        <v>30.8</v>
      </c>
      <c r="P57" s="132">
        <f t="shared" si="15"/>
        <v>9.2000000000000011</v>
      </c>
      <c r="Q57" s="132">
        <f>((F57*N57/100)*0)/1000000</f>
        <v>0</v>
      </c>
      <c r="R57" s="132">
        <f>F57*G57/1000000</f>
        <v>40</v>
      </c>
      <c r="S57" s="271"/>
    </row>
    <row r="58" spans="2:19" x14ac:dyDescent="0.25">
      <c r="B58" s="74"/>
      <c r="C58" s="80"/>
      <c r="D58" s="82"/>
      <c r="E58" s="67" t="s">
        <v>5</v>
      </c>
      <c r="F58" s="16">
        <v>150000</v>
      </c>
      <c r="G58" s="16">
        <v>4</v>
      </c>
      <c r="H58" s="202"/>
      <c r="I58" s="202"/>
      <c r="J58" s="133"/>
      <c r="K58" s="133"/>
      <c r="L58" s="133"/>
      <c r="M58" s="133"/>
      <c r="N58" s="16">
        <v>4</v>
      </c>
      <c r="O58" s="132">
        <f t="shared" si="14"/>
        <v>0.46199999999999997</v>
      </c>
      <c r="P58" s="132">
        <f t="shared" si="15"/>
        <v>0.13800000000000001</v>
      </c>
      <c r="Q58" s="132">
        <f>((F58*N58/100)*0)/1000000</f>
        <v>0</v>
      </c>
      <c r="R58" s="132">
        <f>F58*G58/1000000</f>
        <v>0.6</v>
      </c>
      <c r="S58" s="271"/>
    </row>
    <row r="59" spans="2:19" ht="16.95" customHeight="1" x14ac:dyDescent="0.25">
      <c r="B59" s="74"/>
      <c r="C59" s="82"/>
      <c r="D59" s="103" t="s">
        <v>126</v>
      </c>
      <c r="E59" s="135"/>
      <c r="F59" s="130"/>
      <c r="G59" s="122"/>
      <c r="H59" s="122"/>
      <c r="I59" s="122"/>
      <c r="J59" s="122"/>
      <c r="K59" s="122"/>
      <c r="L59" s="122"/>
      <c r="M59" s="122"/>
      <c r="N59" s="136"/>
      <c r="O59" s="122">
        <f t="shared" ref="O59:R59" si="16">SUM(O56:O58)</f>
        <v>160.62200000000001</v>
      </c>
      <c r="P59" s="122">
        <f t="shared" si="16"/>
        <v>47.978000000000002</v>
      </c>
      <c r="Q59" s="122">
        <f t="shared" si="16"/>
        <v>0</v>
      </c>
      <c r="R59" s="122">
        <f t="shared" si="16"/>
        <v>208.6</v>
      </c>
      <c r="S59" s="131"/>
    </row>
    <row r="60" spans="2:19" x14ac:dyDescent="0.25">
      <c r="B60" s="76"/>
      <c r="C60" s="137" t="s">
        <v>199</v>
      </c>
      <c r="D60" s="137"/>
      <c r="E60" s="138"/>
      <c r="F60" s="141"/>
      <c r="G60" s="152"/>
      <c r="H60" s="152"/>
      <c r="I60" s="152"/>
      <c r="J60" s="152"/>
      <c r="K60" s="152"/>
      <c r="L60" s="152"/>
      <c r="M60" s="152"/>
      <c r="N60" s="139"/>
      <c r="O60" s="151">
        <f t="shared" ref="O60:R60" si="17">SUM(O54,O59)</f>
        <v>195.77250000000001</v>
      </c>
      <c r="P60" s="151">
        <f t="shared" si="17"/>
        <v>58.477499999999999</v>
      </c>
      <c r="Q60" s="151">
        <f t="shared" si="17"/>
        <v>0</v>
      </c>
      <c r="R60" s="151">
        <f t="shared" si="17"/>
        <v>255.45</v>
      </c>
      <c r="S60" s="140"/>
    </row>
    <row r="61" spans="2:19" ht="13.8" thickBot="1" x14ac:dyDescent="0.3">
      <c r="B61" s="84" t="s">
        <v>200</v>
      </c>
      <c r="C61" s="85"/>
      <c r="D61" s="86"/>
      <c r="E61" s="87"/>
      <c r="F61" s="88"/>
      <c r="G61" s="153"/>
      <c r="H61" s="153"/>
      <c r="I61" s="153"/>
      <c r="J61" s="153"/>
      <c r="K61" s="153"/>
      <c r="L61" s="153"/>
      <c r="M61" s="153"/>
      <c r="N61" s="205"/>
      <c r="O61" s="113">
        <f t="shared" ref="O61:R61" si="18">SUM(O40,O60)</f>
        <v>289.84526</v>
      </c>
      <c r="P61" s="113">
        <f t="shared" si="18"/>
        <v>89.077860000000001</v>
      </c>
      <c r="Q61" s="113">
        <f t="shared" si="18"/>
        <v>1.0618799999999999</v>
      </c>
      <c r="R61" s="113">
        <f t="shared" si="18"/>
        <v>381.185</v>
      </c>
      <c r="S61" s="142"/>
    </row>
    <row r="62" spans="2:19" ht="16.2" thickTop="1" x14ac:dyDescent="0.25">
      <c r="B62" s="90" t="s">
        <v>148</v>
      </c>
      <c r="C62" s="18" t="s">
        <v>149</v>
      </c>
      <c r="D62" s="69"/>
      <c r="E62" s="10"/>
      <c r="F62" s="69"/>
      <c r="G62" s="154"/>
      <c r="H62" s="154"/>
      <c r="I62" s="154"/>
      <c r="J62" s="154"/>
      <c r="K62" s="154"/>
      <c r="L62" s="154"/>
      <c r="M62" s="154"/>
      <c r="N62" s="206"/>
      <c r="O62" s="154"/>
      <c r="P62" s="154"/>
      <c r="Q62" s="154"/>
      <c r="R62" s="69"/>
      <c r="S62" s="32"/>
    </row>
    <row r="63" spans="2:19" x14ac:dyDescent="0.25">
      <c r="B63" s="71"/>
      <c r="C63" s="77" t="s">
        <v>7</v>
      </c>
      <c r="D63" s="61" t="s">
        <v>95</v>
      </c>
      <c r="E63" s="63"/>
      <c r="F63" s="128"/>
      <c r="G63" s="128"/>
      <c r="H63" s="128"/>
      <c r="I63" s="128"/>
      <c r="J63" s="128"/>
      <c r="K63" s="128"/>
      <c r="L63" s="128"/>
      <c r="M63" s="128"/>
      <c r="N63" s="207"/>
      <c r="O63" s="128"/>
      <c r="P63" s="128"/>
      <c r="Q63" s="128"/>
      <c r="R63" s="128"/>
      <c r="S63" s="64"/>
    </row>
    <row r="64" spans="2:19" x14ac:dyDescent="0.25">
      <c r="B64" s="72"/>
      <c r="C64" s="78"/>
      <c r="D64" s="77">
        <v>1</v>
      </c>
      <c r="E64" s="61" t="s">
        <v>150</v>
      </c>
      <c r="F64" s="128"/>
      <c r="G64" s="128"/>
      <c r="H64" s="128"/>
      <c r="I64" s="128"/>
      <c r="J64" s="128"/>
      <c r="K64" s="128"/>
      <c r="L64" s="128"/>
      <c r="M64" s="128"/>
      <c r="N64" s="207"/>
      <c r="O64" s="128"/>
      <c r="P64" s="128"/>
      <c r="Q64" s="128"/>
      <c r="R64" s="128"/>
      <c r="S64" s="64"/>
    </row>
    <row r="65" spans="2:19" x14ac:dyDescent="0.25">
      <c r="B65" s="74"/>
      <c r="C65" s="80"/>
      <c r="D65" s="58" t="s">
        <v>156</v>
      </c>
      <c r="E65" s="67" t="s">
        <v>52</v>
      </c>
      <c r="F65" s="16">
        <v>500000</v>
      </c>
      <c r="G65" s="16">
        <v>84</v>
      </c>
      <c r="H65" s="202"/>
      <c r="I65" s="202"/>
      <c r="J65" s="202"/>
      <c r="K65" s="202"/>
      <c r="L65" s="202"/>
      <c r="M65" s="202"/>
      <c r="N65" s="16">
        <v>18</v>
      </c>
      <c r="O65" s="132">
        <f t="shared" ref="O65:O85" si="19">((F65*N65/100)*70)/1000000</f>
        <v>6.3</v>
      </c>
      <c r="P65" s="132">
        <f t="shared" ref="P65:P85" si="20">((F65*N65/100)*30)/1000000</f>
        <v>2.7</v>
      </c>
      <c r="Q65" s="132">
        <f t="shared" ref="Q65:Q85" si="21">((F65*N65/100)*0)/1000000</f>
        <v>0</v>
      </c>
      <c r="R65" s="132">
        <f t="shared" ref="R65:R127" si="22">SUM(O65:Q65)</f>
        <v>9</v>
      </c>
      <c r="S65" s="271" t="s">
        <v>97</v>
      </c>
    </row>
    <row r="66" spans="2:19" x14ac:dyDescent="0.25">
      <c r="B66" s="74"/>
      <c r="C66" s="80"/>
      <c r="D66" s="58" t="s">
        <v>157</v>
      </c>
      <c r="E66" s="67" t="s">
        <v>201</v>
      </c>
      <c r="F66" s="16">
        <v>500000</v>
      </c>
      <c r="G66" s="16">
        <v>84</v>
      </c>
      <c r="H66" s="202"/>
      <c r="I66" s="202"/>
      <c r="J66" s="202"/>
      <c r="K66" s="202"/>
      <c r="L66" s="202"/>
      <c r="M66" s="202"/>
      <c r="N66" s="16">
        <v>24</v>
      </c>
      <c r="O66" s="132">
        <f t="shared" si="19"/>
        <v>8.4</v>
      </c>
      <c r="P66" s="132">
        <f t="shared" si="20"/>
        <v>3.6</v>
      </c>
      <c r="Q66" s="132">
        <f t="shared" si="21"/>
        <v>0</v>
      </c>
      <c r="R66" s="132">
        <f t="shared" si="22"/>
        <v>12</v>
      </c>
      <c r="S66" s="271"/>
    </row>
    <row r="67" spans="2:19" x14ac:dyDescent="0.25">
      <c r="B67" s="74"/>
      <c r="C67" s="80"/>
      <c r="D67" s="58" t="s">
        <v>158</v>
      </c>
      <c r="E67" s="67" t="s">
        <v>74</v>
      </c>
      <c r="F67" s="16">
        <v>300000</v>
      </c>
      <c r="G67" s="16">
        <v>84</v>
      </c>
      <c r="H67" s="202"/>
      <c r="I67" s="202"/>
      <c r="J67" s="202"/>
      <c r="K67" s="202"/>
      <c r="L67" s="202"/>
      <c r="M67" s="202"/>
      <c r="N67" s="16">
        <v>18</v>
      </c>
      <c r="O67" s="132">
        <f t="shared" si="19"/>
        <v>3.78</v>
      </c>
      <c r="P67" s="132">
        <f t="shared" si="20"/>
        <v>1.62</v>
      </c>
      <c r="Q67" s="132">
        <f t="shared" si="21"/>
        <v>0</v>
      </c>
      <c r="R67" s="132">
        <f t="shared" si="22"/>
        <v>5.4</v>
      </c>
      <c r="S67" s="271"/>
    </row>
    <row r="68" spans="2:19" x14ac:dyDescent="0.25">
      <c r="B68" s="74"/>
      <c r="C68" s="80"/>
      <c r="D68" s="58" t="s">
        <v>159</v>
      </c>
      <c r="E68" s="67" t="s">
        <v>230</v>
      </c>
      <c r="F68" s="16">
        <v>300000</v>
      </c>
      <c r="G68" s="16">
        <v>84</v>
      </c>
      <c r="H68" s="202"/>
      <c r="I68" s="202"/>
      <c r="J68" s="202"/>
      <c r="K68" s="202"/>
      <c r="L68" s="202"/>
      <c r="M68" s="202"/>
      <c r="N68" s="16">
        <v>18</v>
      </c>
      <c r="O68" s="132">
        <f t="shared" si="19"/>
        <v>3.78</v>
      </c>
      <c r="P68" s="132">
        <f t="shared" si="20"/>
        <v>1.62</v>
      </c>
      <c r="Q68" s="132">
        <f t="shared" si="21"/>
        <v>0</v>
      </c>
      <c r="R68" s="132">
        <f t="shared" si="22"/>
        <v>5.4</v>
      </c>
      <c r="S68" s="271"/>
    </row>
    <row r="69" spans="2:19" x14ac:dyDescent="0.25">
      <c r="B69" s="74"/>
      <c r="C69" s="80"/>
      <c r="D69" s="58" t="s">
        <v>160</v>
      </c>
      <c r="E69" s="67" t="s">
        <v>250</v>
      </c>
      <c r="F69" s="16">
        <v>500000</v>
      </c>
      <c r="G69" s="16">
        <v>84</v>
      </c>
      <c r="H69" s="202"/>
      <c r="I69" s="202"/>
      <c r="J69" s="202"/>
      <c r="K69" s="202"/>
      <c r="L69" s="202"/>
      <c r="M69" s="202"/>
      <c r="N69" s="16">
        <v>24</v>
      </c>
      <c r="O69" s="132">
        <f t="shared" si="19"/>
        <v>8.4</v>
      </c>
      <c r="P69" s="132">
        <f t="shared" si="20"/>
        <v>3.6</v>
      </c>
      <c r="Q69" s="132">
        <f t="shared" si="21"/>
        <v>0</v>
      </c>
      <c r="R69" s="132">
        <f t="shared" si="22"/>
        <v>12</v>
      </c>
      <c r="S69" s="271"/>
    </row>
    <row r="70" spans="2:19" x14ac:dyDescent="0.25">
      <c r="B70" s="74"/>
      <c r="C70" s="80"/>
      <c r="D70" s="58" t="s">
        <v>161</v>
      </c>
      <c r="E70" s="67" t="s">
        <v>77</v>
      </c>
      <c r="F70" s="16">
        <v>300000</v>
      </c>
      <c r="G70" s="16">
        <v>84</v>
      </c>
      <c r="H70" s="202"/>
      <c r="I70" s="202"/>
      <c r="J70" s="202"/>
      <c r="K70" s="202"/>
      <c r="L70" s="202"/>
      <c r="M70" s="202"/>
      <c r="N70" s="16">
        <v>18</v>
      </c>
      <c r="O70" s="132">
        <f t="shared" si="19"/>
        <v>3.78</v>
      </c>
      <c r="P70" s="132">
        <f t="shared" si="20"/>
        <v>1.62</v>
      </c>
      <c r="Q70" s="132">
        <f t="shared" si="21"/>
        <v>0</v>
      </c>
      <c r="R70" s="132">
        <f t="shared" si="22"/>
        <v>5.4</v>
      </c>
      <c r="S70" s="271"/>
    </row>
    <row r="71" spans="2:19" x14ac:dyDescent="0.25">
      <c r="B71" s="74"/>
      <c r="C71" s="80"/>
      <c r="D71" s="58" t="s">
        <v>162</v>
      </c>
      <c r="E71" s="67" t="s">
        <v>231</v>
      </c>
      <c r="F71" s="16">
        <v>300000</v>
      </c>
      <c r="G71" s="16">
        <v>84</v>
      </c>
      <c r="H71" s="202"/>
      <c r="I71" s="202"/>
      <c r="J71" s="202"/>
      <c r="K71" s="202"/>
      <c r="L71" s="202"/>
      <c r="M71" s="202"/>
      <c r="N71" s="16">
        <v>18</v>
      </c>
      <c r="O71" s="132">
        <f t="shared" si="19"/>
        <v>3.78</v>
      </c>
      <c r="P71" s="132">
        <f t="shared" si="20"/>
        <v>1.62</v>
      </c>
      <c r="Q71" s="132">
        <f t="shared" si="21"/>
        <v>0</v>
      </c>
      <c r="R71" s="132">
        <f t="shared" si="22"/>
        <v>5.4</v>
      </c>
      <c r="S71" s="271"/>
    </row>
    <row r="72" spans="2:19" ht="26.4" x14ac:dyDescent="0.25">
      <c r="B72" s="74"/>
      <c r="C72" s="80"/>
      <c r="D72" s="58" t="s">
        <v>163</v>
      </c>
      <c r="E72" s="67" t="s">
        <v>232</v>
      </c>
      <c r="F72" s="16">
        <v>300000</v>
      </c>
      <c r="G72" s="16">
        <v>84</v>
      </c>
      <c r="H72" s="202"/>
      <c r="I72" s="202"/>
      <c r="J72" s="202"/>
      <c r="K72" s="202"/>
      <c r="L72" s="202"/>
      <c r="M72" s="202"/>
      <c r="N72" s="16">
        <v>18</v>
      </c>
      <c r="O72" s="132">
        <f t="shared" si="19"/>
        <v>3.78</v>
      </c>
      <c r="P72" s="132">
        <f t="shared" si="20"/>
        <v>1.62</v>
      </c>
      <c r="Q72" s="132">
        <f t="shared" si="21"/>
        <v>0</v>
      </c>
      <c r="R72" s="132">
        <f t="shared" si="22"/>
        <v>5.4</v>
      </c>
      <c r="S72" s="271"/>
    </row>
    <row r="73" spans="2:19" x14ac:dyDescent="0.25">
      <c r="B73" s="74"/>
      <c r="C73" s="80"/>
      <c r="D73" s="58" t="s">
        <v>93</v>
      </c>
      <c r="E73" s="67" t="s">
        <v>233</v>
      </c>
      <c r="F73" s="16">
        <v>200000</v>
      </c>
      <c r="G73" s="16">
        <v>84</v>
      </c>
      <c r="H73" s="202"/>
      <c r="I73" s="202"/>
      <c r="J73" s="202"/>
      <c r="K73" s="202"/>
      <c r="L73" s="202"/>
      <c r="M73" s="202"/>
      <c r="N73" s="16">
        <v>18</v>
      </c>
      <c r="O73" s="132">
        <f t="shared" si="19"/>
        <v>2.52</v>
      </c>
      <c r="P73" s="132">
        <f t="shared" si="20"/>
        <v>1.08</v>
      </c>
      <c r="Q73" s="132">
        <f t="shared" si="21"/>
        <v>0</v>
      </c>
      <c r="R73" s="132">
        <f t="shared" si="22"/>
        <v>3.6</v>
      </c>
      <c r="S73" s="271"/>
    </row>
    <row r="74" spans="2:19" x14ac:dyDescent="0.25">
      <c r="B74" s="74"/>
      <c r="C74" s="80"/>
      <c r="D74" s="58" t="s">
        <v>164</v>
      </c>
      <c r="E74" s="67" t="s">
        <v>234</v>
      </c>
      <c r="F74" s="16">
        <v>200000</v>
      </c>
      <c r="G74" s="16">
        <f>2*84</f>
        <v>168</v>
      </c>
      <c r="H74" s="202"/>
      <c r="I74" s="202"/>
      <c r="J74" s="202"/>
      <c r="K74" s="202"/>
      <c r="L74" s="202"/>
      <c r="M74" s="202"/>
      <c r="N74" s="16">
        <f>18*2</f>
        <v>36</v>
      </c>
      <c r="O74" s="132">
        <f t="shared" si="19"/>
        <v>5.04</v>
      </c>
      <c r="P74" s="132">
        <f t="shared" si="20"/>
        <v>2.16</v>
      </c>
      <c r="Q74" s="132">
        <f t="shared" si="21"/>
        <v>0</v>
      </c>
      <c r="R74" s="132">
        <f t="shared" si="22"/>
        <v>7.2</v>
      </c>
      <c r="S74" s="271"/>
    </row>
    <row r="75" spans="2:19" x14ac:dyDescent="0.25">
      <c r="B75" s="74"/>
      <c r="C75" s="80"/>
      <c r="D75" s="58" t="s">
        <v>165</v>
      </c>
      <c r="E75" s="67" t="s">
        <v>235</v>
      </c>
      <c r="F75" s="16">
        <v>200000</v>
      </c>
      <c r="G75" s="16">
        <v>84</v>
      </c>
      <c r="H75" s="202"/>
      <c r="I75" s="202"/>
      <c r="J75" s="202"/>
      <c r="K75" s="202"/>
      <c r="L75" s="202"/>
      <c r="M75" s="202"/>
      <c r="N75" s="16">
        <v>18</v>
      </c>
      <c r="O75" s="132">
        <f t="shared" si="19"/>
        <v>2.52</v>
      </c>
      <c r="P75" s="132">
        <f t="shared" si="20"/>
        <v>1.08</v>
      </c>
      <c r="Q75" s="132">
        <f t="shared" si="21"/>
        <v>0</v>
      </c>
      <c r="R75" s="132">
        <f t="shared" si="22"/>
        <v>3.6</v>
      </c>
      <c r="S75" s="271"/>
    </row>
    <row r="76" spans="2:19" x14ac:dyDescent="0.25">
      <c r="B76" s="74"/>
      <c r="C76" s="80"/>
      <c r="D76" s="58" t="s">
        <v>166</v>
      </c>
      <c r="E76" s="67" t="s">
        <v>151</v>
      </c>
      <c r="F76" s="16">
        <v>300000</v>
      </c>
      <c r="G76" s="16">
        <v>84</v>
      </c>
      <c r="H76" s="133"/>
      <c r="I76" s="133"/>
      <c r="J76" s="133"/>
      <c r="K76" s="133"/>
      <c r="L76" s="133"/>
      <c r="M76" s="133"/>
      <c r="N76" s="16"/>
      <c r="O76" s="132">
        <f t="shared" si="19"/>
        <v>0</v>
      </c>
      <c r="P76" s="132">
        <f t="shared" si="20"/>
        <v>0</v>
      </c>
      <c r="Q76" s="132">
        <f t="shared" si="21"/>
        <v>0</v>
      </c>
      <c r="R76" s="132">
        <f t="shared" si="22"/>
        <v>0</v>
      </c>
      <c r="S76" s="271"/>
    </row>
    <row r="77" spans="2:19" x14ac:dyDescent="0.25">
      <c r="B77" s="74"/>
      <c r="C77" s="80"/>
      <c r="D77" s="58" t="s">
        <v>167</v>
      </c>
      <c r="E77" s="67" t="s">
        <v>236</v>
      </c>
      <c r="F77" s="16">
        <v>200000</v>
      </c>
      <c r="G77" s="16">
        <v>84</v>
      </c>
      <c r="H77" s="202"/>
      <c r="I77" s="202"/>
      <c r="J77" s="202"/>
      <c r="K77" s="202"/>
      <c r="L77" s="202"/>
      <c r="M77" s="202"/>
      <c r="N77" s="16">
        <v>18</v>
      </c>
      <c r="O77" s="132">
        <f t="shared" si="19"/>
        <v>2.52</v>
      </c>
      <c r="P77" s="132">
        <f t="shared" si="20"/>
        <v>1.08</v>
      </c>
      <c r="Q77" s="132">
        <f t="shared" si="21"/>
        <v>0</v>
      </c>
      <c r="R77" s="132">
        <f t="shared" si="22"/>
        <v>3.6</v>
      </c>
      <c r="S77" s="271"/>
    </row>
    <row r="78" spans="2:19" x14ac:dyDescent="0.25">
      <c r="B78" s="74"/>
      <c r="C78" s="80"/>
      <c r="D78" s="58" t="s">
        <v>168</v>
      </c>
      <c r="E78" s="67" t="s">
        <v>237</v>
      </c>
      <c r="F78" s="16">
        <v>200000</v>
      </c>
      <c r="G78" s="16">
        <v>84</v>
      </c>
      <c r="H78" s="202"/>
      <c r="I78" s="202"/>
      <c r="J78" s="202"/>
      <c r="K78" s="202"/>
      <c r="L78" s="202"/>
      <c r="M78" s="202"/>
      <c r="N78" s="16">
        <v>18</v>
      </c>
      <c r="O78" s="132">
        <f t="shared" si="19"/>
        <v>2.52</v>
      </c>
      <c r="P78" s="132">
        <f t="shared" si="20"/>
        <v>1.08</v>
      </c>
      <c r="Q78" s="132">
        <f t="shared" si="21"/>
        <v>0</v>
      </c>
      <c r="R78" s="132">
        <f t="shared" si="22"/>
        <v>3.6</v>
      </c>
      <c r="S78" s="271"/>
    </row>
    <row r="79" spans="2:19" x14ac:dyDescent="0.25">
      <c r="B79" s="74"/>
      <c r="C79" s="80"/>
      <c r="D79" s="58" t="s">
        <v>169</v>
      </c>
      <c r="E79" s="67" t="s">
        <v>238</v>
      </c>
      <c r="F79" s="16">
        <v>300000</v>
      </c>
      <c r="G79" s="16">
        <v>84</v>
      </c>
      <c r="H79" s="133"/>
      <c r="I79" s="133"/>
      <c r="J79" s="133"/>
      <c r="K79" s="133"/>
      <c r="L79" s="133"/>
      <c r="M79" s="133"/>
      <c r="N79" s="16"/>
      <c r="O79" s="132">
        <f t="shared" si="19"/>
        <v>0</v>
      </c>
      <c r="P79" s="132">
        <f t="shared" si="20"/>
        <v>0</v>
      </c>
      <c r="Q79" s="132">
        <f t="shared" si="21"/>
        <v>0</v>
      </c>
      <c r="R79" s="132">
        <f t="shared" si="22"/>
        <v>0</v>
      </c>
      <c r="S79" s="271"/>
    </row>
    <row r="80" spans="2:19" x14ac:dyDescent="0.25">
      <c r="B80" s="74"/>
      <c r="C80" s="80"/>
      <c r="D80" s="58" t="s">
        <v>170</v>
      </c>
      <c r="E80" s="67" t="s">
        <v>239</v>
      </c>
      <c r="F80" s="16">
        <v>300000</v>
      </c>
      <c r="G80" s="16">
        <v>84</v>
      </c>
      <c r="H80" s="133"/>
      <c r="I80" s="133"/>
      <c r="J80" s="133"/>
      <c r="K80" s="133"/>
      <c r="L80" s="133"/>
      <c r="M80" s="133"/>
      <c r="N80" s="16"/>
      <c r="O80" s="132">
        <f t="shared" si="19"/>
        <v>0</v>
      </c>
      <c r="P80" s="132">
        <f t="shared" si="20"/>
        <v>0</v>
      </c>
      <c r="Q80" s="132">
        <f t="shared" si="21"/>
        <v>0</v>
      </c>
      <c r="R80" s="132">
        <f t="shared" si="22"/>
        <v>0</v>
      </c>
      <c r="S80" s="271"/>
    </row>
    <row r="81" spans="2:19" ht="16.95" customHeight="1" x14ac:dyDescent="0.25">
      <c r="B81" s="74"/>
      <c r="C81" s="80"/>
      <c r="D81" s="58" t="s">
        <v>171</v>
      </c>
      <c r="E81" s="67" t="s">
        <v>240</v>
      </c>
      <c r="F81" s="16">
        <v>300000</v>
      </c>
      <c r="G81" s="16">
        <v>84</v>
      </c>
      <c r="H81" s="133"/>
      <c r="I81" s="133"/>
      <c r="J81" s="133"/>
      <c r="K81" s="133"/>
      <c r="L81" s="133"/>
      <c r="M81" s="133"/>
      <c r="N81" s="16"/>
      <c r="O81" s="132">
        <f t="shared" si="19"/>
        <v>0</v>
      </c>
      <c r="P81" s="132">
        <f t="shared" si="20"/>
        <v>0</v>
      </c>
      <c r="Q81" s="132">
        <f t="shared" si="21"/>
        <v>0</v>
      </c>
      <c r="R81" s="132">
        <f t="shared" si="22"/>
        <v>0</v>
      </c>
      <c r="S81" s="271"/>
    </row>
    <row r="82" spans="2:19" x14ac:dyDescent="0.25">
      <c r="B82" s="74"/>
      <c r="C82" s="80"/>
      <c r="D82" s="58" t="s">
        <v>172</v>
      </c>
      <c r="E82" s="67" t="s">
        <v>49</v>
      </c>
      <c r="F82" s="156">
        <v>200000</v>
      </c>
      <c r="G82" s="204">
        <v>84</v>
      </c>
      <c r="H82" s="202"/>
      <c r="I82" s="202"/>
      <c r="J82" s="202"/>
      <c r="K82" s="202"/>
      <c r="L82" s="202"/>
      <c r="M82" s="202"/>
      <c r="N82" s="16">
        <v>18</v>
      </c>
      <c r="O82" s="132">
        <f t="shared" si="19"/>
        <v>2.52</v>
      </c>
      <c r="P82" s="132">
        <f t="shared" si="20"/>
        <v>1.08</v>
      </c>
      <c r="Q82" s="132">
        <f t="shared" si="21"/>
        <v>0</v>
      </c>
      <c r="R82" s="132">
        <f t="shared" si="22"/>
        <v>3.6</v>
      </c>
      <c r="S82" s="271"/>
    </row>
    <row r="83" spans="2:19" x14ac:dyDescent="0.25">
      <c r="B83" s="74"/>
      <c r="C83" s="80"/>
      <c r="D83" s="58" t="s">
        <v>173</v>
      </c>
      <c r="E83" s="67" t="s">
        <v>241</v>
      </c>
      <c r="F83" s="156">
        <v>200000</v>
      </c>
      <c r="G83" s="204">
        <v>84</v>
      </c>
      <c r="H83" s="202"/>
      <c r="I83" s="202"/>
      <c r="J83" s="202"/>
      <c r="K83" s="202"/>
      <c r="L83" s="202"/>
      <c r="M83" s="202"/>
      <c r="N83" s="16">
        <v>18</v>
      </c>
      <c r="O83" s="132">
        <f t="shared" si="19"/>
        <v>2.52</v>
      </c>
      <c r="P83" s="132">
        <f t="shared" si="20"/>
        <v>1.08</v>
      </c>
      <c r="Q83" s="132">
        <f t="shared" si="21"/>
        <v>0</v>
      </c>
      <c r="R83" s="132">
        <f t="shared" si="22"/>
        <v>3.6</v>
      </c>
      <c r="S83" s="271"/>
    </row>
    <row r="84" spans="2:19" x14ac:dyDescent="0.25">
      <c r="B84" s="74"/>
      <c r="C84" s="80"/>
      <c r="D84" s="58" t="s">
        <v>174</v>
      </c>
      <c r="E84" s="67" t="s">
        <v>50</v>
      </c>
      <c r="F84" s="156">
        <v>200000</v>
      </c>
      <c r="G84" s="204">
        <v>84</v>
      </c>
      <c r="H84" s="202"/>
      <c r="I84" s="202"/>
      <c r="J84" s="202"/>
      <c r="K84" s="202"/>
      <c r="L84" s="202"/>
      <c r="M84" s="202"/>
      <c r="N84" s="16">
        <v>18</v>
      </c>
      <c r="O84" s="132">
        <f t="shared" si="19"/>
        <v>2.52</v>
      </c>
      <c r="P84" s="132">
        <f t="shared" si="20"/>
        <v>1.08</v>
      </c>
      <c r="Q84" s="132">
        <f t="shared" si="21"/>
        <v>0</v>
      </c>
      <c r="R84" s="132">
        <f t="shared" si="22"/>
        <v>3.6</v>
      </c>
      <c r="S84" s="271"/>
    </row>
    <row r="85" spans="2:19" ht="12.75" customHeight="1" x14ac:dyDescent="0.25">
      <c r="B85" s="74"/>
      <c r="C85" s="80"/>
      <c r="D85" s="58" t="s">
        <v>242</v>
      </c>
      <c r="E85" s="67" t="s">
        <v>51</v>
      </c>
      <c r="F85" s="156">
        <v>200000</v>
      </c>
      <c r="G85" s="204">
        <v>84</v>
      </c>
      <c r="H85" s="202"/>
      <c r="I85" s="202"/>
      <c r="J85" s="202"/>
      <c r="K85" s="202"/>
      <c r="L85" s="202"/>
      <c r="M85" s="202"/>
      <c r="N85" s="16">
        <v>18</v>
      </c>
      <c r="O85" s="132">
        <f t="shared" si="19"/>
        <v>2.52</v>
      </c>
      <c r="P85" s="132">
        <f t="shared" si="20"/>
        <v>1.08</v>
      </c>
      <c r="Q85" s="132">
        <f t="shared" si="21"/>
        <v>0</v>
      </c>
      <c r="R85" s="132">
        <f t="shared" si="22"/>
        <v>3.6</v>
      </c>
      <c r="S85" s="271"/>
    </row>
    <row r="86" spans="2:19" x14ac:dyDescent="0.25">
      <c r="B86" s="74"/>
      <c r="C86" s="80"/>
      <c r="D86" s="83" t="s">
        <v>243</v>
      </c>
      <c r="E86" s="62" t="s">
        <v>98</v>
      </c>
      <c r="F86" s="98"/>
      <c r="G86" s="148"/>
      <c r="H86" s="148"/>
      <c r="I86" s="148"/>
      <c r="J86" s="148"/>
      <c r="K86" s="148"/>
      <c r="L86" s="148"/>
      <c r="M86" s="148"/>
      <c r="N86" s="98"/>
      <c r="O86" s="149"/>
      <c r="P86" s="132"/>
      <c r="Q86" s="149"/>
      <c r="R86" s="149"/>
      <c r="S86" s="64"/>
    </row>
    <row r="87" spans="2:19" x14ac:dyDescent="0.25">
      <c r="B87" s="74"/>
      <c r="C87" s="80"/>
      <c r="D87" s="80"/>
      <c r="E87" s="67" t="s">
        <v>244</v>
      </c>
      <c r="F87" s="156">
        <v>100000</v>
      </c>
      <c r="G87" s="204">
        <f>3*84</f>
        <v>252</v>
      </c>
      <c r="H87" s="202"/>
      <c r="I87" s="202"/>
      <c r="J87" s="202"/>
      <c r="K87" s="202"/>
      <c r="L87" s="202"/>
      <c r="M87" s="202"/>
      <c r="N87" s="16">
        <f>18*3</f>
        <v>54</v>
      </c>
      <c r="O87" s="132">
        <f>((F87*N87/100)*70)/1000000</f>
        <v>3.78</v>
      </c>
      <c r="P87" s="132">
        <f t="shared" ref="P87:P95" si="23">((F87*N87/100)*30)/1000000</f>
        <v>1.62</v>
      </c>
      <c r="Q87" s="132">
        <f t="shared" ref="Q87:Q95" si="24">((F87*N87/100)*0)/1000000</f>
        <v>0</v>
      </c>
      <c r="R87" s="132">
        <f t="shared" si="22"/>
        <v>5.4</v>
      </c>
      <c r="S87" s="262" t="s">
        <v>97</v>
      </c>
    </row>
    <row r="88" spans="2:19" x14ac:dyDescent="0.25">
      <c r="B88" s="74"/>
      <c r="C88" s="80"/>
      <c r="D88" s="80"/>
      <c r="E88" s="67" t="s">
        <v>245</v>
      </c>
      <c r="F88" s="156">
        <v>100000</v>
      </c>
      <c r="G88" s="204">
        <v>84</v>
      </c>
      <c r="H88" s="202"/>
      <c r="I88" s="202"/>
      <c r="J88" s="202"/>
      <c r="K88" s="202"/>
      <c r="L88" s="202"/>
      <c r="M88" s="202"/>
      <c r="N88" s="16">
        <v>18</v>
      </c>
      <c r="O88" s="132">
        <f>((F88*N88/100)*70)/1000000</f>
        <v>1.26</v>
      </c>
      <c r="P88" s="132">
        <f t="shared" si="23"/>
        <v>0.54</v>
      </c>
      <c r="Q88" s="132">
        <f t="shared" si="24"/>
        <v>0</v>
      </c>
      <c r="R88" s="132">
        <f t="shared" si="22"/>
        <v>1.8</v>
      </c>
      <c r="S88" s="263"/>
    </row>
    <row r="89" spans="2:19" x14ac:dyDescent="0.25">
      <c r="B89" s="74"/>
      <c r="C89" s="80"/>
      <c r="D89" s="80"/>
      <c r="E89" s="67" t="s">
        <v>53</v>
      </c>
      <c r="F89" s="156">
        <v>100000</v>
      </c>
      <c r="G89" s="204">
        <v>168</v>
      </c>
      <c r="H89" s="202"/>
      <c r="I89" s="202"/>
      <c r="J89" s="202"/>
      <c r="K89" s="202"/>
      <c r="L89" s="202"/>
      <c r="M89" s="202"/>
      <c r="N89" s="16">
        <f>18*2</f>
        <v>36</v>
      </c>
      <c r="O89" s="132">
        <f>((F89*N89/100)*70)/1000000</f>
        <v>2.52</v>
      </c>
      <c r="P89" s="132">
        <f t="shared" si="23"/>
        <v>1.08</v>
      </c>
      <c r="Q89" s="132">
        <f t="shared" si="24"/>
        <v>0</v>
      </c>
      <c r="R89" s="132">
        <f t="shared" si="22"/>
        <v>3.6</v>
      </c>
      <c r="S89" s="263"/>
    </row>
    <row r="90" spans="2:19" x14ac:dyDescent="0.25">
      <c r="B90" s="74"/>
      <c r="C90" s="80"/>
      <c r="D90" s="80"/>
      <c r="E90" s="67" t="s">
        <v>84</v>
      </c>
      <c r="F90" s="156">
        <v>100000</v>
      </c>
      <c r="G90" s="204">
        <v>168</v>
      </c>
      <c r="H90" s="202"/>
      <c r="I90" s="202"/>
      <c r="J90" s="202"/>
      <c r="K90" s="202"/>
      <c r="L90" s="202"/>
      <c r="M90" s="202"/>
      <c r="N90" s="16">
        <f>18*2</f>
        <v>36</v>
      </c>
      <c r="O90" s="132">
        <f>((F90*N90/100)*70)/1000000</f>
        <v>2.52</v>
      </c>
      <c r="P90" s="132">
        <f t="shared" si="23"/>
        <v>1.08</v>
      </c>
      <c r="Q90" s="132">
        <f t="shared" si="24"/>
        <v>0</v>
      </c>
      <c r="R90" s="132">
        <f t="shared" si="22"/>
        <v>3.6</v>
      </c>
      <c r="S90" s="263"/>
    </row>
    <row r="91" spans="2:19" x14ac:dyDescent="0.25">
      <c r="B91" s="74"/>
      <c r="C91" s="80"/>
      <c r="D91" s="80"/>
      <c r="E91" s="67" t="s">
        <v>30</v>
      </c>
      <c r="F91" s="156">
        <v>45000</v>
      </c>
      <c r="G91" s="204">
        <v>672</v>
      </c>
      <c r="H91" s="202"/>
      <c r="I91" s="202"/>
      <c r="J91" s="202"/>
      <c r="K91" s="202"/>
      <c r="L91" s="202"/>
      <c r="M91" s="202"/>
      <c r="N91" s="16">
        <f>18*8</f>
        <v>144</v>
      </c>
      <c r="O91" s="132">
        <f>((F91*N91)/1000000)</f>
        <v>6.48</v>
      </c>
      <c r="P91" s="132">
        <f t="shared" si="23"/>
        <v>1.944</v>
      </c>
      <c r="Q91" s="132">
        <f t="shared" si="24"/>
        <v>0</v>
      </c>
      <c r="R91" s="132">
        <f t="shared" si="22"/>
        <v>8.4239999999999995</v>
      </c>
      <c r="S91" s="263" t="s">
        <v>202</v>
      </c>
    </row>
    <row r="92" spans="2:19" x14ac:dyDescent="0.25">
      <c r="B92" s="74"/>
      <c r="C92" s="80"/>
      <c r="D92" s="80"/>
      <c r="E92" s="67" t="s">
        <v>31</v>
      </c>
      <c r="F92" s="156">
        <v>35000</v>
      </c>
      <c r="G92" s="204">
        <v>336</v>
      </c>
      <c r="H92" s="202"/>
      <c r="I92" s="202"/>
      <c r="J92" s="202"/>
      <c r="K92" s="202"/>
      <c r="L92" s="202"/>
      <c r="M92" s="202"/>
      <c r="N92" s="16">
        <f>18*4</f>
        <v>72</v>
      </c>
      <c r="O92" s="132">
        <f>((F92*N92)/1000000)</f>
        <v>2.52</v>
      </c>
      <c r="P92" s="132">
        <f t="shared" si="23"/>
        <v>0.75600000000000001</v>
      </c>
      <c r="Q92" s="132">
        <f t="shared" si="24"/>
        <v>0</v>
      </c>
      <c r="R92" s="132">
        <f t="shared" si="22"/>
        <v>3.2759999999999998</v>
      </c>
      <c r="S92" s="263"/>
    </row>
    <row r="93" spans="2:19" x14ac:dyDescent="0.25">
      <c r="B93" s="74"/>
      <c r="C93" s="80"/>
      <c r="D93" s="80"/>
      <c r="E93" s="67" t="s">
        <v>32</v>
      </c>
      <c r="F93" s="156">
        <v>35000</v>
      </c>
      <c r="G93" s="204">
        <v>336</v>
      </c>
      <c r="H93" s="202"/>
      <c r="I93" s="202"/>
      <c r="J93" s="202"/>
      <c r="K93" s="202"/>
      <c r="L93" s="202"/>
      <c r="M93" s="202"/>
      <c r="N93" s="16">
        <f>18*4</f>
        <v>72</v>
      </c>
      <c r="O93" s="132">
        <f>((F93*N93)/1000000)</f>
        <v>2.52</v>
      </c>
      <c r="P93" s="132">
        <f t="shared" si="23"/>
        <v>0.75600000000000001</v>
      </c>
      <c r="Q93" s="132">
        <f t="shared" si="24"/>
        <v>0</v>
      </c>
      <c r="R93" s="132">
        <f t="shared" si="22"/>
        <v>3.2759999999999998</v>
      </c>
      <c r="S93" s="263"/>
    </row>
    <row r="94" spans="2:19" x14ac:dyDescent="0.25">
      <c r="B94" s="74"/>
      <c r="C94" s="80"/>
      <c r="D94" s="80"/>
      <c r="E94" s="67" t="s">
        <v>33</v>
      </c>
      <c r="F94" s="156">
        <v>35000</v>
      </c>
      <c r="G94" s="204">
        <v>168</v>
      </c>
      <c r="H94" s="202"/>
      <c r="I94" s="202"/>
      <c r="J94" s="202"/>
      <c r="K94" s="202"/>
      <c r="L94" s="202"/>
      <c r="M94" s="202"/>
      <c r="N94" s="16">
        <f>18*2</f>
        <v>36</v>
      </c>
      <c r="O94" s="132">
        <f>((F94*N94)/1000000)</f>
        <v>1.26</v>
      </c>
      <c r="P94" s="132">
        <f t="shared" si="23"/>
        <v>0.378</v>
      </c>
      <c r="Q94" s="132">
        <f t="shared" si="24"/>
        <v>0</v>
      </c>
      <c r="R94" s="132">
        <f t="shared" si="22"/>
        <v>1.6379999999999999</v>
      </c>
      <c r="S94" s="263"/>
    </row>
    <row r="95" spans="2:19" x14ac:dyDescent="0.25">
      <c r="B95" s="74"/>
      <c r="C95" s="80"/>
      <c r="D95" s="82"/>
      <c r="E95" s="67" t="s">
        <v>34</v>
      </c>
      <c r="F95" s="156">
        <v>35000</v>
      </c>
      <c r="G95" s="204">
        <v>168</v>
      </c>
      <c r="H95" s="202"/>
      <c r="I95" s="202"/>
      <c r="J95" s="202"/>
      <c r="K95" s="202"/>
      <c r="L95" s="202"/>
      <c r="M95" s="202"/>
      <c r="N95" s="16">
        <f>18*2</f>
        <v>36</v>
      </c>
      <c r="O95" s="132">
        <f>((F95*N95)/1000000)</f>
        <v>1.26</v>
      </c>
      <c r="P95" s="132">
        <f t="shared" si="23"/>
        <v>0.378</v>
      </c>
      <c r="Q95" s="132">
        <f t="shared" si="24"/>
        <v>0</v>
      </c>
      <c r="R95" s="132">
        <f t="shared" si="22"/>
        <v>1.6379999999999999</v>
      </c>
      <c r="S95" s="264"/>
    </row>
    <row r="96" spans="2:19" x14ac:dyDescent="0.25">
      <c r="B96" s="74"/>
      <c r="C96" s="89"/>
      <c r="D96" s="159" t="s">
        <v>126</v>
      </c>
      <c r="E96" s="159"/>
      <c r="F96" s="136"/>
      <c r="G96" s="147"/>
      <c r="H96" s="147"/>
      <c r="I96" s="147"/>
      <c r="J96" s="147"/>
      <c r="K96" s="147"/>
      <c r="L96" s="147"/>
      <c r="M96" s="147"/>
      <c r="N96" s="136"/>
      <c r="O96" s="122">
        <f>SUM(O65:O95)</f>
        <v>91.320000000000022</v>
      </c>
      <c r="P96" s="122">
        <f>SUM(P65:P95)</f>
        <v>37.332000000000001</v>
      </c>
      <c r="Q96" s="122">
        <f>SUM(Q65:Q95)</f>
        <v>0</v>
      </c>
      <c r="R96" s="122">
        <f>SUM(R65:R95)</f>
        <v>128.65199999999996</v>
      </c>
      <c r="S96" s="131"/>
    </row>
    <row r="97" spans="2:19" x14ac:dyDescent="0.25">
      <c r="B97" s="75"/>
      <c r="C97" s="81"/>
      <c r="D97" s="83">
        <v>2</v>
      </c>
      <c r="E97" s="65" t="s">
        <v>99</v>
      </c>
      <c r="F97" s="98"/>
      <c r="G97" s="148"/>
      <c r="H97" s="148"/>
      <c r="I97" s="148"/>
      <c r="J97" s="148"/>
      <c r="K97" s="148"/>
      <c r="L97" s="148"/>
      <c r="M97" s="148"/>
      <c r="N97" s="98"/>
      <c r="O97" s="149"/>
      <c r="P97" s="149"/>
      <c r="Q97" s="149"/>
      <c r="R97" s="149"/>
      <c r="S97" s="28"/>
    </row>
    <row r="98" spans="2:19" ht="26.4" x14ac:dyDescent="0.25">
      <c r="B98" s="74"/>
      <c r="C98" s="80"/>
      <c r="D98" s="80"/>
      <c r="E98" s="67" t="s">
        <v>35</v>
      </c>
      <c r="F98" s="156">
        <v>550000</v>
      </c>
      <c r="G98" s="204">
        <v>84</v>
      </c>
      <c r="H98" s="202"/>
      <c r="I98" s="202"/>
      <c r="J98" s="202"/>
      <c r="K98" s="202"/>
      <c r="L98" s="202"/>
      <c r="M98" s="202"/>
      <c r="N98" s="16">
        <v>18</v>
      </c>
      <c r="O98" s="132">
        <f>((F98*N98/100)*70)/1000000</f>
        <v>6.93</v>
      </c>
      <c r="P98" s="132">
        <f>((F98*N98/100)*30)/1000000</f>
        <v>2.97</v>
      </c>
      <c r="Q98" s="132">
        <f t="shared" ref="Q98:Q105" si="25">((F98*N98/100)*0)/1000000</f>
        <v>0</v>
      </c>
      <c r="R98" s="132">
        <f t="shared" si="22"/>
        <v>9.9</v>
      </c>
      <c r="S98" s="161" t="s">
        <v>203</v>
      </c>
    </row>
    <row r="99" spans="2:19" x14ac:dyDescent="0.25">
      <c r="B99" s="74"/>
      <c r="C99" s="80"/>
      <c r="D99" s="80"/>
      <c r="E99" s="67" t="s">
        <v>36</v>
      </c>
      <c r="F99" s="156">
        <v>200000</v>
      </c>
      <c r="G99" s="204">
        <v>84</v>
      </c>
      <c r="H99" s="202"/>
      <c r="I99" s="202"/>
      <c r="J99" s="202"/>
      <c r="K99" s="202"/>
      <c r="L99" s="202"/>
      <c r="M99" s="202"/>
      <c r="N99" s="16">
        <v>18</v>
      </c>
      <c r="O99" s="132">
        <f>((F99*N99/100)*100)/1000000</f>
        <v>3.6</v>
      </c>
      <c r="P99" s="132"/>
      <c r="Q99" s="132">
        <f t="shared" si="25"/>
        <v>0</v>
      </c>
      <c r="R99" s="132">
        <f t="shared" si="22"/>
        <v>3.6</v>
      </c>
      <c r="S99" s="161"/>
    </row>
    <row r="100" spans="2:19" ht="26.4" x14ac:dyDescent="0.25">
      <c r="B100" s="74"/>
      <c r="C100" s="80"/>
      <c r="D100" s="80"/>
      <c r="E100" s="67" t="s">
        <v>37</v>
      </c>
      <c r="F100" s="156">
        <v>100000</v>
      </c>
      <c r="G100" s="204">
        <v>84</v>
      </c>
      <c r="H100" s="202"/>
      <c r="I100" s="202"/>
      <c r="J100" s="202"/>
      <c r="K100" s="202"/>
      <c r="L100" s="202"/>
      <c r="M100" s="202"/>
      <c r="N100" s="16">
        <v>18</v>
      </c>
      <c r="O100" s="132">
        <f>((F100*N100/100)*77)/1000000</f>
        <v>1.3859999999999999</v>
      </c>
      <c r="P100" s="132">
        <f>((F100*N100/100)*23)/1000000</f>
        <v>0.41399999999999998</v>
      </c>
      <c r="Q100" s="132">
        <f t="shared" si="25"/>
        <v>0</v>
      </c>
      <c r="R100" s="132">
        <f t="shared" si="22"/>
        <v>1.7999999999999998</v>
      </c>
      <c r="S100" s="161" t="s">
        <v>204</v>
      </c>
    </row>
    <row r="101" spans="2:19" x14ac:dyDescent="0.25">
      <c r="B101" s="74"/>
      <c r="C101" s="80"/>
      <c r="D101" s="80"/>
      <c r="E101" s="67" t="s">
        <v>38</v>
      </c>
      <c r="F101" s="156">
        <v>80000</v>
      </c>
      <c r="G101" s="204">
        <v>672</v>
      </c>
      <c r="H101" s="202"/>
      <c r="I101" s="202"/>
      <c r="J101" s="202"/>
      <c r="K101" s="202"/>
      <c r="L101" s="202"/>
      <c r="M101" s="202"/>
      <c r="N101" s="16">
        <v>18</v>
      </c>
      <c r="O101" s="132">
        <f>((F101*N101/100)*100)/1000000</f>
        <v>1.44</v>
      </c>
      <c r="P101" s="132"/>
      <c r="Q101" s="132">
        <f t="shared" si="25"/>
        <v>0</v>
      </c>
      <c r="R101" s="132">
        <f t="shared" si="22"/>
        <v>1.44</v>
      </c>
      <c r="S101" s="161"/>
    </row>
    <row r="102" spans="2:19" x14ac:dyDescent="0.25">
      <c r="B102" s="74"/>
      <c r="C102" s="80"/>
      <c r="D102" s="80"/>
      <c r="E102" s="67" t="s">
        <v>39</v>
      </c>
      <c r="F102" s="156">
        <v>40000</v>
      </c>
      <c r="G102" s="204">
        <v>672</v>
      </c>
      <c r="H102" s="202"/>
      <c r="I102" s="202"/>
      <c r="J102" s="202"/>
      <c r="K102" s="202"/>
      <c r="L102" s="202"/>
      <c r="M102" s="202"/>
      <c r="N102" s="16">
        <v>18</v>
      </c>
      <c r="O102" s="132">
        <f>((F102*N102/100)*77)/1000000</f>
        <v>0.5544</v>
      </c>
      <c r="P102" s="132">
        <f>((F102*N102/100)*23)/1000000</f>
        <v>0.1656</v>
      </c>
      <c r="Q102" s="132">
        <f t="shared" si="25"/>
        <v>0</v>
      </c>
      <c r="R102" s="132">
        <f t="shared" si="22"/>
        <v>0.72</v>
      </c>
      <c r="S102" s="265" t="s">
        <v>204</v>
      </c>
    </row>
    <row r="103" spans="2:19" x14ac:dyDescent="0.25">
      <c r="B103" s="74"/>
      <c r="C103" s="80"/>
      <c r="D103" s="80"/>
      <c r="E103" s="67" t="s">
        <v>40</v>
      </c>
      <c r="F103" s="156">
        <v>50000</v>
      </c>
      <c r="G103" s="204">
        <v>84</v>
      </c>
      <c r="H103" s="202"/>
      <c r="I103" s="202"/>
      <c r="J103" s="202"/>
      <c r="K103" s="202"/>
      <c r="L103" s="202"/>
      <c r="M103" s="202"/>
      <c r="N103" s="16">
        <v>18</v>
      </c>
      <c r="O103" s="132">
        <f>((F103*N103/100)*77)/1000000</f>
        <v>0.69299999999999995</v>
      </c>
      <c r="P103" s="132">
        <f>((F103*N103/100)*23)/1000000</f>
        <v>0.20699999999999999</v>
      </c>
      <c r="Q103" s="132">
        <f t="shared" si="25"/>
        <v>0</v>
      </c>
      <c r="R103" s="132">
        <f t="shared" si="22"/>
        <v>0.89999999999999991</v>
      </c>
      <c r="S103" s="266"/>
    </row>
    <row r="104" spans="2:19" x14ac:dyDescent="0.25">
      <c r="B104" s="74"/>
      <c r="C104" s="80"/>
      <c r="D104" s="80"/>
      <c r="E104" s="67" t="s">
        <v>176</v>
      </c>
      <c r="F104" s="156">
        <v>200000</v>
      </c>
      <c r="G104" s="204">
        <v>84</v>
      </c>
      <c r="H104" s="202"/>
      <c r="I104" s="202"/>
      <c r="J104" s="202"/>
      <c r="K104" s="202"/>
      <c r="L104" s="202"/>
      <c r="M104" s="202"/>
      <c r="N104" s="16">
        <v>18</v>
      </c>
      <c r="O104" s="132">
        <f>((F104*N104/100)*77)/1000000</f>
        <v>2.7719999999999998</v>
      </c>
      <c r="P104" s="132">
        <f>((F104*N104/100)*23)/1000000</f>
        <v>0.82799999999999996</v>
      </c>
      <c r="Q104" s="132">
        <f t="shared" si="25"/>
        <v>0</v>
      </c>
      <c r="R104" s="132">
        <f t="shared" si="22"/>
        <v>3.5999999999999996</v>
      </c>
      <c r="S104" s="266"/>
    </row>
    <row r="105" spans="2:19" x14ac:dyDescent="0.25">
      <c r="B105" s="74"/>
      <c r="C105" s="80"/>
      <c r="D105" s="82"/>
      <c r="E105" s="67" t="s">
        <v>42</v>
      </c>
      <c r="F105" s="156">
        <v>100000</v>
      </c>
      <c r="G105" s="204">
        <v>84</v>
      </c>
      <c r="H105" s="202"/>
      <c r="I105" s="202"/>
      <c r="J105" s="202"/>
      <c r="K105" s="202"/>
      <c r="L105" s="202"/>
      <c r="M105" s="202"/>
      <c r="N105" s="16">
        <v>18</v>
      </c>
      <c r="O105" s="132">
        <f>((F105*N105/100)*77)/1000000</f>
        <v>1.3859999999999999</v>
      </c>
      <c r="P105" s="132">
        <f>((F105*N105/100)*23)/1000000</f>
        <v>0.41399999999999998</v>
      </c>
      <c r="Q105" s="132">
        <f t="shared" si="25"/>
        <v>0</v>
      </c>
      <c r="R105" s="132">
        <f t="shared" si="22"/>
        <v>1.7999999999999998</v>
      </c>
      <c r="S105" s="267"/>
    </row>
    <row r="106" spans="2:19" x14ac:dyDescent="0.25">
      <c r="B106" s="74"/>
      <c r="C106" s="80"/>
      <c r="D106" s="159" t="s">
        <v>126</v>
      </c>
      <c r="E106" s="135"/>
      <c r="F106" s="136"/>
      <c r="G106" s="147"/>
      <c r="H106" s="147"/>
      <c r="I106" s="147"/>
      <c r="J106" s="147"/>
      <c r="K106" s="147"/>
      <c r="L106" s="147"/>
      <c r="M106" s="147"/>
      <c r="N106" s="136"/>
      <c r="O106" s="122">
        <f t="shared" ref="O106:R106" si="26">SUM(O98:O105)</f>
        <v>18.761399999999995</v>
      </c>
      <c r="P106" s="122">
        <f t="shared" si="26"/>
        <v>4.9985999999999997</v>
      </c>
      <c r="Q106" s="122">
        <f t="shared" si="26"/>
        <v>0</v>
      </c>
      <c r="R106" s="122">
        <f t="shared" si="26"/>
        <v>23.76</v>
      </c>
      <c r="S106" s="162"/>
    </row>
    <row r="107" spans="2:19" x14ac:dyDescent="0.25">
      <c r="B107" s="74"/>
      <c r="C107" s="80"/>
      <c r="D107" s="83">
        <v>3</v>
      </c>
      <c r="E107" s="65" t="s">
        <v>177</v>
      </c>
      <c r="F107" s="156"/>
      <c r="G107" s="157"/>
      <c r="H107" s="157"/>
      <c r="I107" s="157"/>
      <c r="J107" s="157"/>
      <c r="K107" s="157"/>
      <c r="L107" s="157"/>
      <c r="M107" s="157"/>
      <c r="N107" s="16"/>
      <c r="O107" s="132"/>
      <c r="P107" s="132"/>
      <c r="Q107" s="132"/>
      <c r="R107" s="132"/>
      <c r="S107" s="160"/>
    </row>
    <row r="108" spans="2:19" x14ac:dyDescent="0.25">
      <c r="B108" s="74"/>
      <c r="C108" s="80"/>
      <c r="D108" s="80"/>
      <c r="E108" s="67" t="s">
        <v>178</v>
      </c>
      <c r="F108" s="156">
        <v>1095000</v>
      </c>
      <c r="G108" s="204">
        <v>84</v>
      </c>
      <c r="H108" s="202"/>
      <c r="I108" s="202"/>
      <c r="J108" s="202"/>
      <c r="K108" s="202"/>
      <c r="L108" s="202"/>
      <c r="M108" s="202"/>
      <c r="N108" s="16">
        <v>18</v>
      </c>
      <c r="O108" s="132">
        <f>((F108*N108/100)*77)/1000000</f>
        <v>15.1767</v>
      </c>
      <c r="P108" s="132">
        <f>((F108*N108/100)*23)/1000000</f>
        <v>4.5332999999999997</v>
      </c>
      <c r="Q108" s="132">
        <f>((F108*N108/100)*0)/1000000</f>
        <v>0</v>
      </c>
      <c r="R108" s="132">
        <f t="shared" si="22"/>
        <v>19.71</v>
      </c>
      <c r="S108" s="268" t="s">
        <v>204</v>
      </c>
    </row>
    <row r="109" spans="2:19" ht="16.95" customHeight="1" x14ac:dyDescent="0.25">
      <c r="B109" s="74"/>
      <c r="C109" s="80"/>
      <c r="D109" s="80"/>
      <c r="E109" s="67" t="s">
        <v>43</v>
      </c>
      <c r="F109" s="156">
        <v>814050</v>
      </c>
      <c r="G109" s="204">
        <v>84</v>
      </c>
      <c r="H109" s="202"/>
      <c r="I109" s="202"/>
      <c r="J109" s="202"/>
      <c r="K109" s="202"/>
      <c r="L109" s="202"/>
      <c r="M109" s="202"/>
      <c r="N109" s="16">
        <v>18</v>
      </c>
      <c r="O109" s="132">
        <f>((F109*N109/100)*77)/1000000</f>
        <v>11.282733</v>
      </c>
      <c r="P109" s="132">
        <f>((F109*N109/100)*23)/1000000</f>
        <v>3.3701669999999999</v>
      </c>
      <c r="Q109" s="132">
        <f>((F109*N109/100)*0)/1000000</f>
        <v>0</v>
      </c>
      <c r="R109" s="132">
        <f t="shared" si="22"/>
        <v>14.652900000000001</v>
      </c>
      <c r="S109" s="269"/>
    </row>
    <row r="110" spans="2:19" x14ac:dyDescent="0.25">
      <c r="B110" s="74"/>
      <c r="C110" s="80"/>
      <c r="D110" s="82"/>
      <c r="E110" s="67" t="s">
        <v>44</v>
      </c>
      <c r="F110" s="156">
        <v>23000</v>
      </c>
      <c r="G110" s="204">
        <v>245</v>
      </c>
      <c r="H110" s="202"/>
      <c r="I110" s="202"/>
      <c r="J110" s="202"/>
      <c r="K110" s="202"/>
      <c r="L110" s="202"/>
      <c r="M110" s="202"/>
      <c r="N110" s="16">
        <v>18</v>
      </c>
      <c r="O110" s="132">
        <f>((F110*N110/100)*77)/1000000</f>
        <v>0.31878000000000001</v>
      </c>
      <c r="P110" s="132">
        <f>((F110*N110/100)*23)/1000000</f>
        <v>9.5219999999999999E-2</v>
      </c>
      <c r="Q110" s="132">
        <f>((F110*N110/100)*0)/1000000</f>
        <v>0</v>
      </c>
      <c r="R110" s="132">
        <f t="shared" si="22"/>
        <v>0.41400000000000003</v>
      </c>
      <c r="S110" s="270"/>
    </row>
    <row r="111" spans="2:19" x14ac:dyDescent="0.25">
      <c r="B111" s="74"/>
      <c r="C111" s="82"/>
      <c r="D111" s="159" t="s">
        <v>126</v>
      </c>
      <c r="E111" s="135"/>
      <c r="F111" s="136"/>
      <c r="G111" s="147"/>
      <c r="H111" s="147"/>
      <c r="I111" s="147"/>
      <c r="J111" s="147"/>
      <c r="K111" s="147"/>
      <c r="L111" s="147"/>
      <c r="M111" s="147"/>
      <c r="N111" s="136"/>
      <c r="O111" s="122">
        <f t="shared" ref="O111:R111" si="27">SUM(O108:O110)</f>
        <v>26.778213000000001</v>
      </c>
      <c r="P111" s="122">
        <f t="shared" si="27"/>
        <v>7.9986869999999994</v>
      </c>
      <c r="Q111" s="122">
        <f t="shared" si="27"/>
        <v>0</v>
      </c>
      <c r="R111" s="122">
        <f t="shared" si="27"/>
        <v>34.776900000000005</v>
      </c>
      <c r="S111" s="131"/>
    </row>
    <row r="112" spans="2:19" x14ac:dyDescent="0.25">
      <c r="B112" s="74"/>
      <c r="C112" s="159" t="s">
        <v>198</v>
      </c>
      <c r="D112" s="126"/>
      <c r="E112" s="135"/>
      <c r="F112" s="136"/>
      <c r="G112" s="147"/>
      <c r="H112" s="147"/>
      <c r="I112" s="147"/>
      <c r="J112" s="147"/>
      <c r="K112" s="147"/>
      <c r="L112" s="147"/>
      <c r="M112" s="147"/>
      <c r="N112" s="136"/>
      <c r="O112" s="122">
        <f t="shared" ref="O112:R112" si="28">SUM(O96,O106,O111)</f>
        <v>136.85961300000002</v>
      </c>
      <c r="P112" s="122">
        <f t="shared" si="28"/>
        <v>50.329287000000001</v>
      </c>
      <c r="Q112" s="122">
        <f t="shared" si="28"/>
        <v>0</v>
      </c>
      <c r="R112" s="122">
        <f t="shared" si="28"/>
        <v>187.18889999999996</v>
      </c>
      <c r="S112" s="131"/>
    </row>
    <row r="113" spans="2:19" x14ac:dyDescent="0.25">
      <c r="B113" s="75"/>
      <c r="C113" s="83" t="s">
        <v>4</v>
      </c>
      <c r="D113" s="65" t="s">
        <v>19</v>
      </c>
      <c r="E113" s="65"/>
      <c r="F113" s="98"/>
      <c r="G113" s="148"/>
      <c r="H113" s="148"/>
      <c r="I113" s="148"/>
      <c r="J113" s="148"/>
      <c r="K113" s="148"/>
      <c r="L113" s="148"/>
      <c r="M113" s="148"/>
      <c r="N113" s="98"/>
      <c r="O113" s="149"/>
      <c r="P113" s="149"/>
      <c r="Q113" s="149"/>
      <c r="R113" s="149"/>
      <c r="S113" s="64"/>
    </row>
    <row r="114" spans="2:19" x14ac:dyDescent="0.25">
      <c r="B114" s="75"/>
      <c r="C114" s="81"/>
      <c r="D114" s="77">
        <v>1</v>
      </c>
      <c r="E114" s="61" t="s">
        <v>179</v>
      </c>
      <c r="F114" s="98"/>
      <c r="G114" s="148"/>
      <c r="H114" s="148"/>
      <c r="I114" s="148"/>
      <c r="J114" s="148"/>
      <c r="K114" s="148"/>
      <c r="L114" s="148"/>
      <c r="M114" s="148"/>
      <c r="N114" s="98"/>
      <c r="O114" s="149"/>
      <c r="P114" s="149"/>
      <c r="Q114" s="149"/>
      <c r="R114" s="149"/>
      <c r="S114" s="64"/>
    </row>
    <row r="115" spans="2:19" x14ac:dyDescent="0.25">
      <c r="B115" s="74"/>
      <c r="C115" s="80"/>
      <c r="D115" s="58" t="s">
        <v>156</v>
      </c>
      <c r="E115" s="67" t="s">
        <v>54</v>
      </c>
      <c r="F115" s="156">
        <v>300000</v>
      </c>
      <c r="G115" s="204">
        <f>5*84</f>
        <v>420</v>
      </c>
      <c r="H115" s="202"/>
      <c r="I115" s="202"/>
      <c r="J115" s="202"/>
      <c r="K115" s="202"/>
      <c r="L115" s="202"/>
      <c r="M115" s="202"/>
      <c r="N115" s="16">
        <f>18*5</f>
        <v>90</v>
      </c>
      <c r="O115" s="132">
        <f>((F115*N115/100)*70)/1000000</f>
        <v>18.899999999999999</v>
      </c>
      <c r="P115" s="132">
        <f>((F115*N115/100)*30)/1000000</f>
        <v>8.1</v>
      </c>
      <c r="Q115" s="132">
        <f>((F115*N115/100)*0)/1000000</f>
        <v>0</v>
      </c>
      <c r="R115" s="132">
        <f t="shared" si="22"/>
        <v>27</v>
      </c>
      <c r="S115" s="271" t="s">
        <v>97</v>
      </c>
    </row>
    <row r="116" spans="2:19" x14ac:dyDescent="0.25">
      <c r="B116" s="74"/>
      <c r="C116" s="80"/>
      <c r="D116" s="58" t="s">
        <v>157</v>
      </c>
      <c r="E116" s="67" t="s">
        <v>246</v>
      </c>
      <c r="F116" s="156">
        <v>200000</v>
      </c>
      <c r="G116" s="204">
        <f>5*84</f>
        <v>420</v>
      </c>
      <c r="H116" s="202"/>
      <c r="I116" s="202"/>
      <c r="J116" s="202"/>
      <c r="K116" s="202"/>
      <c r="L116" s="202"/>
      <c r="M116" s="202"/>
      <c r="N116" s="16">
        <f>18*5</f>
        <v>90</v>
      </c>
      <c r="O116" s="132">
        <f>((F116*N116/100)*70)/1000000</f>
        <v>12.6</v>
      </c>
      <c r="P116" s="132">
        <f>((F116*N116/100)*30)/1000000</f>
        <v>5.4</v>
      </c>
      <c r="Q116" s="132">
        <f>((F116*N116/100)*0)/1000000</f>
        <v>0</v>
      </c>
      <c r="R116" s="132">
        <f t="shared" si="22"/>
        <v>18</v>
      </c>
      <c r="S116" s="271"/>
    </row>
    <row r="117" spans="2:19" ht="26.4" x14ac:dyDescent="0.25">
      <c r="B117" s="74"/>
      <c r="C117" s="80"/>
      <c r="D117" s="58" t="s">
        <v>158</v>
      </c>
      <c r="E117" s="67" t="s">
        <v>247</v>
      </c>
      <c r="F117" s="156">
        <v>200000</v>
      </c>
      <c r="G117" s="204">
        <f>5*84</f>
        <v>420</v>
      </c>
      <c r="H117" s="202"/>
      <c r="I117" s="202"/>
      <c r="J117" s="202"/>
      <c r="K117" s="202"/>
      <c r="L117" s="202"/>
      <c r="M117" s="202"/>
      <c r="N117" s="16">
        <f>18*5</f>
        <v>90</v>
      </c>
      <c r="O117" s="132">
        <f>((F117*N117/100)*70)/1000000</f>
        <v>12.6</v>
      </c>
      <c r="P117" s="132">
        <f>((F117*N117/100)*30)/1000000</f>
        <v>5.4</v>
      </c>
      <c r="Q117" s="132">
        <f>((F117*N117/100)*0)/1000000</f>
        <v>0</v>
      </c>
      <c r="R117" s="132">
        <f t="shared" si="22"/>
        <v>18</v>
      </c>
      <c r="S117" s="271"/>
    </row>
    <row r="118" spans="2:19" x14ac:dyDescent="0.25">
      <c r="B118" s="74"/>
      <c r="C118" s="80"/>
      <c r="D118" s="58" t="s">
        <v>159</v>
      </c>
      <c r="E118" s="67" t="s">
        <v>248</v>
      </c>
      <c r="F118" s="156">
        <v>200000</v>
      </c>
      <c r="G118" s="204">
        <v>84</v>
      </c>
      <c r="H118" s="202"/>
      <c r="I118" s="202"/>
      <c r="J118" s="202"/>
      <c r="K118" s="202"/>
      <c r="L118" s="202"/>
      <c r="M118" s="202"/>
      <c r="N118" s="16">
        <f>18*5</f>
        <v>90</v>
      </c>
      <c r="O118" s="132">
        <f>((F118*N118/100)*70)/1000000</f>
        <v>12.6</v>
      </c>
      <c r="P118" s="132">
        <f>((F118*N118/100)*30)/1000000</f>
        <v>5.4</v>
      </c>
      <c r="Q118" s="132">
        <f>((F118*N118/100)*0)/1000000</f>
        <v>0</v>
      </c>
      <c r="R118" s="132">
        <f t="shared" si="22"/>
        <v>18</v>
      </c>
      <c r="S118" s="271"/>
    </row>
    <row r="119" spans="2:19" x14ac:dyDescent="0.25">
      <c r="B119" s="74"/>
      <c r="C119" s="80"/>
      <c r="D119" s="58" t="s">
        <v>160</v>
      </c>
      <c r="E119" s="67" t="s">
        <v>249</v>
      </c>
      <c r="F119" s="156">
        <v>200000</v>
      </c>
      <c r="G119" s="204">
        <v>420</v>
      </c>
      <c r="H119" s="202"/>
      <c r="I119" s="202"/>
      <c r="J119" s="202"/>
      <c r="K119" s="202"/>
      <c r="L119" s="202"/>
      <c r="M119" s="202"/>
      <c r="N119" s="16">
        <f>18*5</f>
        <v>90</v>
      </c>
      <c r="O119" s="132">
        <f>((F119*N119/100)*70)/1000000</f>
        <v>12.6</v>
      </c>
      <c r="P119" s="132">
        <f>((F119*N119/100)*30)/1000000</f>
        <v>5.4</v>
      </c>
      <c r="Q119" s="132">
        <f>((F119*N119/100)*0)/1000000</f>
        <v>0</v>
      </c>
      <c r="R119" s="132">
        <f t="shared" si="22"/>
        <v>18</v>
      </c>
      <c r="S119" s="271"/>
    </row>
    <row r="120" spans="2:19" x14ac:dyDescent="0.25">
      <c r="B120" s="75"/>
      <c r="C120" s="81"/>
      <c r="D120" s="59" t="s">
        <v>161</v>
      </c>
      <c r="E120" s="62" t="s">
        <v>180</v>
      </c>
      <c r="F120" s="98"/>
      <c r="G120" s="148"/>
      <c r="H120" s="148"/>
      <c r="I120" s="148"/>
      <c r="J120" s="148"/>
      <c r="K120" s="148"/>
      <c r="L120" s="148"/>
      <c r="M120" s="148"/>
      <c r="N120" s="16"/>
      <c r="O120" s="149"/>
      <c r="P120" s="149"/>
      <c r="Q120" s="149"/>
      <c r="R120" s="149"/>
      <c r="S120" s="28"/>
    </row>
    <row r="121" spans="2:19" ht="26.4" x14ac:dyDescent="0.25">
      <c r="B121" s="74"/>
      <c r="C121" s="80"/>
      <c r="D121" s="58"/>
      <c r="E121" s="155" t="s">
        <v>56</v>
      </c>
      <c r="F121" s="156">
        <v>100000</v>
      </c>
      <c r="G121" s="204">
        <v>420</v>
      </c>
      <c r="H121" s="202"/>
      <c r="I121" s="202"/>
      <c r="J121" s="202"/>
      <c r="K121" s="202"/>
      <c r="L121" s="202"/>
      <c r="M121" s="202"/>
      <c r="N121" s="208">
        <f>18*5</f>
        <v>90</v>
      </c>
      <c r="O121" s="132">
        <f>((F121*N121/100)*70)/1000000</f>
        <v>6.3</v>
      </c>
      <c r="P121" s="132">
        <f>((F121*N121/100)*30)/1000000</f>
        <v>2.7</v>
      </c>
      <c r="Q121" s="132">
        <f>((F121*N121/100)*0)/1000000</f>
        <v>0</v>
      </c>
      <c r="R121" s="132">
        <f t="shared" si="22"/>
        <v>9</v>
      </c>
      <c r="S121" s="28" t="s">
        <v>97</v>
      </c>
    </row>
    <row r="122" spans="2:19" x14ac:dyDescent="0.25">
      <c r="B122" s="74"/>
      <c r="C122" s="80"/>
      <c r="D122" s="58"/>
      <c r="E122" s="67" t="s">
        <v>45</v>
      </c>
      <c r="F122" s="156">
        <v>45000</v>
      </c>
      <c r="G122" s="204">
        <v>1680</v>
      </c>
      <c r="H122" s="202"/>
      <c r="I122" s="202"/>
      <c r="J122" s="202"/>
      <c r="K122" s="202"/>
      <c r="L122" s="202"/>
      <c r="M122" s="202"/>
      <c r="N122" s="208">
        <f>18*20</f>
        <v>360</v>
      </c>
      <c r="O122" s="132">
        <f>((F122*N122/100)*100)/1000000</f>
        <v>16.2</v>
      </c>
      <c r="P122" s="132"/>
      <c r="Q122" s="132">
        <f>((F122*N122/100)*0)/1000000</f>
        <v>0</v>
      </c>
      <c r="R122" s="132">
        <f t="shared" si="22"/>
        <v>16.2</v>
      </c>
      <c r="S122" s="28"/>
    </row>
    <row r="123" spans="2:19" x14ac:dyDescent="0.25">
      <c r="B123" s="74"/>
      <c r="C123" s="80"/>
      <c r="D123" s="58"/>
      <c r="E123" s="67" t="s">
        <v>85</v>
      </c>
      <c r="F123" s="156">
        <v>35000</v>
      </c>
      <c r="G123" s="204">
        <v>840</v>
      </c>
      <c r="H123" s="202"/>
      <c r="I123" s="202"/>
      <c r="J123" s="202"/>
      <c r="K123" s="202"/>
      <c r="L123" s="202"/>
      <c r="M123" s="202"/>
      <c r="N123" s="208">
        <f>18*10</f>
        <v>180</v>
      </c>
      <c r="O123" s="132">
        <f>((F123*N123/100)*100)/1000000</f>
        <v>6.3</v>
      </c>
      <c r="P123" s="132"/>
      <c r="Q123" s="132">
        <f>((F123*N123/100)*0)/1000000</f>
        <v>0</v>
      </c>
      <c r="R123" s="132">
        <f t="shared" si="22"/>
        <v>6.3</v>
      </c>
      <c r="S123" s="28"/>
    </row>
    <row r="124" spans="2:19" x14ac:dyDescent="0.25">
      <c r="B124" s="74"/>
      <c r="C124" s="80"/>
      <c r="D124" s="58"/>
      <c r="E124" s="67" t="s">
        <v>86</v>
      </c>
      <c r="F124" s="156">
        <v>35000</v>
      </c>
      <c r="G124" s="204">
        <v>840</v>
      </c>
      <c r="H124" s="202"/>
      <c r="I124" s="202"/>
      <c r="J124" s="202"/>
      <c r="K124" s="202"/>
      <c r="L124" s="202"/>
      <c r="M124" s="202"/>
      <c r="N124" s="208">
        <f>18*10</f>
        <v>180</v>
      </c>
      <c r="O124" s="132">
        <f>((F124*N124/100)*100)/1000000</f>
        <v>6.3</v>
      </c>
      <c r="P124" s="132"/>
      <c r="Q124" s="132">
        <f>((F124*N124/100)*0)/1000000</f>
        <v>0</v>
      </c>
      <c r="R124" s="132">
        <f t="shared" si="22"/>
        <v>6.3</v>
      </c>
      <c r="S124" s="28"/>
    </row>
    <row r="125" spans="2:19" x14ac:dyDescent="0.25">
      <c r="B125" s="74"/>
      <c r="C125" s="80"/>
      <c r="D125" s="58"/>
      <c r="E125" s="67" t="s">
        <v>87</v>
      </c>
      <c r="F125" s="156">
        <v>35000</v>
      </c>
      <c r="G125" s="204">
        <v>420</v>
      </c>
      <c r="H125" s="202"/>
      <c r="I125" s="202"/>
      <c r="J125" s="202"/>
      <c r="K125" s="202"/>
      <c r="L125" s="202"/>
      <c r="M125" s="202"/>
      <c r="N125" s="208">
        <f>18*5</f>
        <v>90</v>
      </c>
      <c r="O125" s="132">
        <f>((F125*N125/100)*100)/1000000</f>
        <v>3.15</v>
      </c>
      <c r="P125" s="132"/>
      <c r="Q125" s="132">
        <f>((F125*N125/100)*0)/1000000</f>
        <v>0</v>
      </c>
      <c r="R125" s="132">
        <f t="shared" si="22"/>
        <v>3.15</v>
      </c>
      <c r="S125" s="28"/>
    </row>
    <row r="126" spans="2:19" x14ac:dyDescent="0.25">
      <c r="B126" s="74"/>
      <c r="C126" s="80"/>
      <c r="D126" s="272" t="s">
        <v>126</v>
      </c>
      <c r="E126" s="273"/>
      <c r="F126" s="136"/>
      <c r="G126" s="136"/>
      <c r="H126" s="147"/>
      <c r="I126" s="147"/>
      <c r="J126" s="147"/>
      <c r="K126" s="147"/>
      <c r="L126" s="147"/>
      <c r="M126" s="147"/>
      <c r="N126" s="209"/>
      <c r="O126" s="122">
        <f t="shared" ref="O126:R126" si="29">SUM(O115:O125)</f>
        <v>107.55</v>
      </c>
      <c r="P126" s="122">
        <f t="shared" si="29"/>
        <v>32.4</v>
      </c>
      <c r="Q126" s="122">
        <f t="shared" si="29"/>
        <v>0</v>
      </c>
      <c r="R126" s="122">
        <f t="shared" si="29"/>
        <v>139.95000000000002</v>
      </c>
      <c r="S126" s="164"/>
    </row>
    <row r="127" spans="2:19" s="216" customFormat="1" ht="26.4" x14ac:dyDescent="0.25">
      <c r="B127" s="210"/>
      <c r="C127" s="211"/>
      <c r="D127" s="212" t="s">
        <v>162</v>
      </c>
      <c r="E127" s="213" t="s">
        <v>57</v>
      </c>
      <c r="F127" s="16">
        <v>20200000</v>
      </c>
      <c r="G127" s="16">
        <v>7</v>
      </c>
      <c r="H127" s="133"/>
      <c r="I127" s="133"/>
      <c r="J127" s="133"/>
      <c r="K127" s="133"/>
      <c r="L127" s="133"/>
      <c r="M127" s="133"/>
      <c r="N127" s="214">
        <v>1</v>
      </c>
      <c r="O127" s="134">
        <f>((F127*N127/100)*70)/1000000</f>
        <v>14.14</v>
      </c>
      <c r="P127" s="134">
        <f>((F127*N127/100)*30)/1000000</f>
        <v>6.06</v>
      </c>
      <c r="Q127" s="134">
        <f>((F127*N127/100)*0)/1000000</f>
        <v>0</v>
      </c>
      <c r="R127" s="134">
        <f t="shared" si="22"/>
        <v>20.2</v>
      </c>
      <c r="S127" s="215" t="s">
        <v>97</v>
      </c>
    </row>
    <row r="128" spans="2:19" x14ac:dyDescent="0.25">
      <c r="B128" s="74"/>
      <c r="C128" s="80"/>
      <c r="D128" s="159" t="s">
        <v>126</v>
      </c>
      <c r="E128" s="135"/>
      <c r="F128" s="136"/>
      <c r="G128" s="136"/>
      <c r="H128" s="147"/>
      <c r="I128" s="147"/>
      <c r="J128" s="147"/>
      <c r="K128" s="147"/>
      <c r="L128" s="147"/>
      <c r="M128" s="147"/>
      <c r="N128" s="209"/>
      <c r="O128" s="122">
        <f t="shared" ref="O128:R128" si="30">O127</f>
        <v>14.14</v>
      </c>
      <c r="P128" s="122">
        <f t="shared" si="30"/>
        <v>6.06</v>
      </c>
      <c r="Q128" s="122">
        <f t="shared" si="30"/>
        <v>0</v>
      </c>
      <c r="R128" s="122">
        <f t="shared" si="30"/>
        <v>20.2</v>
      </c>
      <c r="S128" s="131"/>
    </row>
    <row r="129" spans="2:19" x14ac:dyDescent="0.25">
      <c r="B129" s="75"/>
      <c r="C129" s="81"/>
      <c r="D129" s="83">
        <v>2</v>
      </c>
      <c r="E129" s="62" t="s">
        <v>46</v>
      </c>
      <c r="F129" s="98"/>
      <c r="G129" s="98"/>
      <c r="H129" s="148"/>
      <c r="I129" s="148"/>
      <c r="J129" s="148"/>
      <c r="K129" s="148"/>
      <c r="L129" s="148"/>
      <c r="M129" s="148"/>
      <c r="N129" s="98"/>
      <c r="O129" s="149"/>
      <c r="P129" s="149"/>
      <c r="Q129" s="149"/>
      <c r="R129" s="149"/>
      <c r="S129" s="28"/>
    </row>
    <row r="130" spans="2:19" ht="26.4" x14ac:dyDescent="0.25">
      <c r="B130" s="74"/>
      <c r="C130" s="80"/>
      <c r="D130" s="80"/>
      <c r="E130" s="155" t="s">
        <v>251</v>
      </c>
      <c r="F130" s="156">
        <v>150000</v>
      </c>
      <c r="G130" s="204">
        <v>336</v>
      </c>
      <c r="H130" s="202"/>
      <c r="I130" s="202"/>
      <c r="J130" s="202"/>
      <c r="K130" s="202"/>
      <c r="L130" s="202"/>
      <c r="M130" s="202"/>
      <c r="N130" s="208">
        <f>18*4</f>
        <v>72</v>
      </c>
      <c r="O130" s="132">
        <f>((F130*N130/100)*70)/1000000</f>
        <v>7.56</v>
      </c>
      <c r="P130" s="132">
        <f>((F130*N130/100)*30)/1000000</f>
        <v>3.24</v>
      </c>
      <c r="Q130" s="132">
        <f t="shared" ref="Q130:Q138" si="31">((F130*N130/100)*0)/1000000</f>
        <v>0</v>
      </c>
      <c r="R130" s="132">
        <f t="shared" ref="R130:R138" si="32">SUM(O130:Q130)</f>
        <v>10.8</v>
      </c>
      <c r="S130" s="28" t="s">
        <v>97</v>
      </c>
    </row>
    <row r="131" spans="2:19" x14ac:dyDescent="0.25">
      <c r="B131" s="74"/>
      <c r="C131" s="80"/>
      <c r="D131" s="80"/>
      <c r="E131" s="155" t="s">
        <v>252</v>
      </c>
      <c r="F131" s="156">
        <v>120000</v>
      </c>
      <c r="G131" s="204">
        <v>336</v>
      </c>
      <c r="H131" s="202"/>
      <c r="I131" s="202"/>
      <c r="J131" s="202"/>
      <c r="K131" s="202"/>
      <c r="L131" s="202"/>
      <c r="M131" s="202"/>
      <c r="N131" s="208">
        <f>18*4</f>
        <v>72</v>
      </c>
      <c r="O131" s="132">
        <f>((F131*N131/100)*100)/1000000</f>
        <v>8.64</v>
      </c>
      <c r="P131" s="132"/>
      <c r="Q131" s="132">
        <f t="shared" si="31"/>
        <v>0</v>
      </c>
      <c r="R131" s="132">
        <f t="shared" si="32"/>
        <v>8.64</v>
      </c>
      <c r="S131" s="28"/>
    </row>
    <row r="132" spans="2:19" ht="26.4" x14ac:dyDescent="0.25">
      <c r="B132" s="74"/>
      <c r="C132" s="80"/>
      <c r="D132" s="80"/>
      <c r="E132" s="155" t="s">
        <v>253</v>
      </c>
      <c r="F132" s="156">
        <v>100000</v>
      </c>
      <c r="G132" s="204">
        <v>336</v>
      </c>
      <c r="H132" s="202"/>
      <c r="I132" s="202"/>
      <c r="J132" s="202"/>
      <c r="K132" s="202"/>
      <c r="L132" s="202"/>
      <c r="M132" s="202"/>
      <c r="N132" s="208">
        <f>18*4</f>
        <v>72</v>
      </c>
      <c r="O132" s="132">
        <f>((F132*N132/100)*77)/1000000</f>
        <v>5.5439999999999996</v>
      </c>
      <c r="P132" s="132">
        <f>((F132*N132/100)*23)/1000000</f>
        <v>1.6559999999999999</v>
      </c>
      <c r="Q132" s="132">
        <f t="shared" si="31"/>
        <v>0</v>
      </c>
      <c r="R132" s="132">
        <f t="shared" si="32"/>
        <v>7.1999999999999993</v>
      </c>
      <c r="S132" s="28" t="s">
        <v>204</v>
      </c>
    </row>
    <row r="133" spans="2:19" x14ac:dyDescent="0.25">
      <c r="B133" s="74"/>
      <c r="C133" s="80"/>
      <c r="D133" s="80"/>
      <c r="E133" s="155" t="s">
        <v>254</v>
      </c>
      <c r="F133" s="156">
        <v>50000</v>
      </c>
      <c r="G133" s="204">
        <v>1680</v>
      </c>
      <c r="H133" s="202"/>
      <c r="I133" s="202"/>
      <c r="J133" s="202"/>
      <c r="K133" s="202"/>
      <c r="L133" s="202"/>
      <c r="M133" s="202"/>
      <c r="N133" s="208">
        <f>18*20</f>
        <v>360</v>
      </c>
      <c r="O133" s="132">
        <f>((F133*N133/100)*100)/1000000</f>
        <v>18</v>
      </c>
      <c r="P133" s="132"/>
      <c r="Q133" s="132">
        <f t="shared" si="31"/>
        <v>0</v>
      </c>
      <c r="R133" s="132">
        <f t="shared" si="32"/>
        <v>18</v>
      </c>
      <c r="S133" s="28"/>
    </row>
    <row r="134" spans="2:19" x14ac:dyDescent="0.25">
      <c r="B134" s="74"/>
      <c r="C134" s="80"/>
      <c r="D134" s="80"/>
      <c r="E134" s="155" t="s">
        <v>39</v>
      </c>
      <c r="F134" s="156">
        <v>35000</v>
      </c>
      <c r="G134" s="204">
        <v>1680</v>
      </c>
      <c r="H134" s="202"/>
      <c r="I134" s="202"/>
      <c r="J134" s="202"/>
      <c r="K134" s="202"/>
      <c r="L134" s="202"/>
      <c r="M134" s="202"/>
      <c r="N134" s="208">
        <f>18*20</f>
        <v>360</v>
      </c>
      <c r="O134" s="132">
        <f>((F134*N134/100)*77)/1000000</f>
        <v>9.702</v>
      </c>
      <c r="P134" s="132">
        <f>((F134*N134/100)*23)/1000000</f>
        <v>2.8980000000000001</v>
      </c>
      <c r="Q134" s="132">
        <f t="shared" si="31"/>
        <v>0</v>
      </c>
      <c r="R134" s="132">
        <f t="shared" si="32"/>
        <v>12.6</v>
      </c>
      <c r="S134" s="262" t="s">
        <v>204</v>
      </c>
    </row>
    <row r="135" spans="2:19" x14ac:dyDescent="0.25">
      <c r="B135" s="74"/>
      <c r="C135" s="80"/>
      <c r="D135" s="80"/>
      <c r="E135" s="155" t="s">
        <v>40</v>
      </c>
      <c r="F135" s="156">
        <v>30000</v>
      </c>
      <c r="G135" s="204">
        <v>336</v>
      </c>
      <c r="H135" s="202"/>
      <c r="I135" s="202"/>
      <c r="J135" s="202"/>
      <c r="K135" s="202"/>
      <c r="L135" s="202"/>
      <c r="M135" s="202"/>
      <c r="N135" s="208">
        <f>18*4</f>
        <v>72</v>
      </c>
      <c r="O135" s="132">
        <f>((F135*N135/100)*77)/1000000</f>
        <v>1.6632</v>
      </c>
      <c r="P135" s="132">
        <f>((F135*N135/100)*23)/1000000</f>
        <v>0.49680000000000002</v>
      </c>
      <c r="Q135" s="132">
        <f t="shared" si="31"/>
        <v>0</v>
      </c>
      <c r="R135" s="132">
        <f t="shared" si="32"/>
        <v>2.16</v>
      </c>
      <c r="S135" s="263"/>
    </row>
    <row r="136" spans="2:19" x14ac:dyDescent="0.25">
      <c r="B136" s="74"/>
      <c r="C136" s="80"/>
      <c r="D136" s="80"/>
      <c r="E136" s="155" t="s">
        <v>41</v>
      </c>
      <c r="F136" s="156">
        <v>150000</v>
      </c>
      <c r="G136" s="204">
        <v>336</v>
      </c>
      <c r="H136" s="202"/>
      <c r="I136" s="202"/>
      <c r="J136" s="202"/>
      <c r="K136" s="202"/>
      <c r="L136" s="202"/>
      <c r="M136" s="202"/>
      <c r="N136" s="208">
        <f>18*4</f>
        <v>72</v>
      </c>
      <c r="O136" s="132">
        <f>((F136*N136/100)*77)/1000000</f>
        <v>8.3160000000000007</v>
      </c>
      <c r="P136" s="132">
        <f>((F136*N136/100)*23)/1000000</f>
        <v>2.484</v>
      </c>
      <c r="Q136" s="132">
        <f t="shared" si="31"/>
        <v>0</v>
      </c>
      <c r="R136" s="132">
        <f t="shared" si="32"/>
        <v>10.8</v>
      </c>
      <c r="S136" s="263"/>
    </row>
    <row r="137" spans="2:19" x14ac:dyDescent="0.25">
      <c r="B137" s="74"/>
      <c r="C137" s="80"/>
      <c r="D137" s="80"/>
      <c r="E137" s="155" t="s">
        <v>42</v>
      </c>
      <c r="F137" s="156">
        <v>30000</v>
      </c>
      <c r="G137" s="204">
        <v>336</v>
      </c>
      <c r="H137" s="202"/>
      <c r="I137" s="202"/>
      <c r="J137" s="202"/>
      <c r="K137" s="202"/>
      <c r="L137" s="202"/>
      <c r="M137" s="202"/>
      <c r="N137" s="208">
        <f>18*4</f>
        <v>72</v>
      </c>
      <c r="O137" s="132">
        <f>((F137*N137/100)*77)/1000000</f>
        <v>1.6632</v>
      </c>
      <c r="P137" s="132">
        <f>((F137*N137/100)*23)/1000000</f>
        <v>0.49680000000000002</v>
      </c>
      <c r="Q137" s="132">
        <f t="shared" si="31"/>
        <v>0</v>
      </c>
      <c r="R137" s="132">
        <f t="shared" si="32"/>
        <v>2.16</v>
      </c>
      <c r="S137" s="263"/>
    </row>
    <row r="138" spans="2:19" ht="21" customHeight="1" x14ac:dyDescent="0.25">
      <c r="B138" s="74"/>
      <c r="C138" s="80"/>
      <c r="D138" s="82"/>
      <c r="E138" s="155" t="s">
        <v>58</v>
      </c>
      <c r="F138" s="156">
        <v>2000000</v>
      </c>
      <c r="G138" s="204">
        <v>84</v>
      </c>
      <c r="H138" s="202"/>
      <c r="I138" s="202"/>
      <c r="J138" s="202"/>
      <c r="K138" s="202"/>
      <c r="L138" s="202"/>
      <c r="M138" s="202"/>
      <c r="N138" s="208">
        <v>18</v>
      </c>
      <c r="O138" s="132">
        <f>((F138*N138/100)*77)/1000000</f>
        <v>27.72</v>
      </c>
      <c r="P138" s="132">
        <f>((F138*N138/100)*23)/1000000</f>
        <v>8.2799999999999994</v>
      </c>
      <c r="Q138" s="132">
        <f t="shared" si="31"/>
        <v>0</v>
      </c>
      <c r="R138" s="132">
        <f t="shared" si="32"/>
        <v>36</v>
      </c>
      <c r="S138" s="264"/>
    </row>
    <row r="139" spans="2:19" x14ac:dyDescent="0.25">
      <c r="B139" s="74"/>
      <c r="C139" s="82"/>
      <c r="D139" s="159" t="s">
        <v>126</v>
      </c>
      <c r="E139" s="135"/>
      <c r="F139" s="136"/>
      <c r="G139" s="147"/>
      <c r="H139" s="147"/>
      <c r="I139" s="147"/>
      <c r="J139" s="147"/>
      <c r="K139" s="147"/>
      <c r="L139" s="147"/>
      <c r="M139" s="147"/>
      <c r="N139" s="163"/>
      <c r="O139" s="122">
        <f t="shared" ref="O139:R139" si="33">SUM(O130:O138)</f>
        <v>88.808400000000006</v>
      </c>
      <c r="P139" s="122">
        <f t="shared" si="33"/>
        <v>19.551600000000001</v>
      </c>
      <c r="Q139" s="122">
        <f t="shared" si="33"/>
        <v>0</v>
      </c>
      <c r="R139" s="122">
        <f t="shared" si="33"/>
        <v>108.36</v>
      </c>
      <c r="S139" s="131"/>
    </row>
    <row r="140" spans="2:19" x14ac:dyDescent="0.25">
      <c r="B140" s="76"/>
      <c r="C140" s="159" t="s">
        <v>199</v>
      </c>
      <c r="D140" s="126"/>
      <c r="E140" s="135"/>
      <c r="F140" s="136"/>
      <c r="G140" s="147"/>
      <c r="H140" s="147"/>
      <c r="I140" s="147"/>
      <c r="J140" s="147"/>
      <c r="K140" s="147"/>
      <c r="L140" s="147"/>
      <c r="M140" s="147"/>
      <c r="N140" s="163"/>
      <c r="O140" s="122">
        <f t="shared" ref="O140:R140" si="34">SUM(O126,O128,O139)</f>
        <v>210.4984</v>
      </c>
      <c r="P140" s="122">
        <f t="shared" si="34"/>
        <v>58.011600000000001</v>
      </c>
      <c r="Q140" s="122">
        <f t="shared" si="34"/>
        <v>0</v>
      </c>
      <c r="R140" s="122">
        <f t="shared" si="34"/>
        <v>268.51</v>
      </c>
      <c r="S140" s="131"/>
    </row>
    <row r="141" spans="2:19" x14ac:dyDescent="0.25">
      <c r="B141" s="159" t="s">
        <v>205</v>
      </c>
      <c r="C141" s="165"/>
      <c r="D141" s="126"/>
      <c r="E141" s="135"/>
      <c r="F141" s="136"/>
      <c r="G141" s="147"/>
      <c r="H141" s="147"/>
      <c r="I141" s="147"/>
      <c r="J141" s="147"/>
      <c r="K141" s="147"/>
      <c r="L141" s="147"/>
      <c r="M141" s="147"/>
      <c r="N141" s="163"/>
      <c r="O141" s="122">
        <f t="shared" ref="O141:R141" si="35">SUM(O112,O140)</f>
        <v>347.35801300000003</v>
      </c>
      <c r="P141" s="122">
        <f t="shared" si="35"/>
        <v>108.34088700000001</v>
      </c>
      <c r="Q141" s="122">
        <f t="shared" si="35"/>
        <v>0</v>
      </c>
      <c r="R141" s="122">
        <f t="shared" si="35"/>
        <v>455.69889999999998</v>
      </c>
      <c r="S141" s="131"/>
    </row>
    <row r="142" spans="2:19" x14ac:dyDescent="0.25">
      <c r="B142" s="159" t="s">
        <v>213</v>
      </c>
      <c r="C142" s="165"/>
      <c r="D142" s="126"/>
      <c r="E142" s="135"/>
      <c r="F142" s="122">
        <v>2473.87</v>
      </c>
      <c r="G142" s="122">
        <v>0</v>
      </c>
      <c r="H142" s="122"/>
      <c r="I142" s="122"/>
      <c r="J142" s="122"/>
      <c r="K142" s="122"/>
      <c r="L142" s="122"/>
      <c r="M142" s="122"/>
      <c r="N142" s="122">
        <v>0</v>
      </c>
      <c r="O142" s="122">
        <v>0</v>
      </c>
      <c r="P142" s="10">
        <v>0</v>
      </c>
      <c r="Q142" s="10">
        <v>0</v>
      </c>
      <c r="R142" s="10">
        <v>0</v>
      </c>
      <c r="S142" s="131"/>
    </row>
    <row r="144" spans="2:19" x14ac:dyDescent="0.25">
      <c r="B144" s="166" t="s">
        <v>206</v>
      </c>
      <c r="C144" s="165"/>
      <c r="D144" s="126"/>
      <c r="E144" s="135"/>
      <c r="F144" s="136"/>
      <c r="G144" s="147"/>
      <c r="H144" s="147"/>
      <c r="I144" s="147"/>
      <c r="J144" s="147"/>
      <c r="K144" s="147"/>
      <c r="L144" s="147"/>
      <c r="M144" s="147"/>
      <c r="N144" s="163"/>
      <c r="O144" s="122">
        <f>SUM(O61,O141)</f>
        <v>637.20327300000008</v>
      </c>
      <c r="P144" s="122">
        <f>SUM(P61,P141)</f>
        <v>197.418747</v>
      </c>
      <c r="Q144" s="122">
        <f>SUM(Q61,Q141)</f>
        <v>1.0618799999999999</v>
      </c>
      <c r="R144" s="122">
        <f>SUM(R61,R141)</f>
        <v>836.88390000000004</v>
      </c>
      <c r="S144" s="131"/>
    </row>
  </sheetData>
  <mergeCells count="26">
    <mergeCell ref="B1:U1"/>
    <mergeCell ref="B3:U3"/>
    <mergeCell ref="B4:U4"/>
    <mergeCell ref="B5:U5"/>
    <mergeCell ref="B6:U6"/>
    <mergeCell ref="B7:B8"/>
    <mergeCell ref="E7:E8"/>
    <mergeCell ref="F7:G7"/>
    <mergeCell ref="N7:N8"/>
    <mergeCell ref="O7:R7"/>
    <mergeCell ref="D126:E126"/>
    <mergeCell ref="S12:S26"/>
    <mergeCell ref="S29:S31"/>
    <mergeCell ref="S34:S38"/>
    <mergeCell ref="S43:S53"/>
    <mergeCell ref="S56:S58"/>
    <mergeCell ref="S65:S85"/>
    <mergeCell ref="S134:S138"/>
    <mergeCell ref="H7:I7"/>
    <mergeCell ref="J7:M7"/>
    <mergeCell ref="S87:S90"/>
    <mergeCell ref="S91:S95"/>
    <mergeCell ref="S102:S105"/>
    <mergeCell ref="S108:S110"/>
    <mergeCell ref="S115:S119"/>
    <mergeCell ref="S7:S8"/>
  </mergeCells>
  <pageMargins left="0.25" right="0.32" top="0.3" bottom="0.35" header="0.3" footer="0.3"/>
  <pageSetup scale="70" orientation="landscape" r:id="rId1"/>
  <rowBreaks count="1" manualBreakCount="1"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130"/>
  <sheetViews>
    <sheetView view="pageBreakPreview" topLeftCell="A109" zoomScale="85" zoomScaleNormal="85" zoomScaleSheetLayoutView="85" workbookViewId="0">
      <selection activeCell="G124" sqref="G124"/>
    </sheetView>
  </sheetViews>
  <sheetFormatPr defaultColWidth="8.77734375" defaultRowHeight="13.2" x14ac:dyDescent="0.25"/>
  <cols>
    <col min="1" max="1" width="2.109375" customWidth="1"/>
    <col min="2" max="2" width="4.44140625" customWidth="1"/>
    <col min="3" max="4" width="3.77734375" customWidth="1"/>
    <col min="5" max="5" width="44.6640625" customWidth="1"/>
    <col min="6" max="6" width="13.77734375" bestFit="1" customWidth="1"/>
    <col min="7" max="7" width="13.77734375" customWidth="1"/>
    <col min="8" max="8" width="14" customWidth="1"/>
    <col min="9" max="9" width="15.109375" customWidth="1"/>
    <col min="10" max="10" width="14.77734375" customWidth="1"/>
    <col min="11" max="11" width="13" customWidth="1"/>
    <col min="12" max="12" width="13.77734375" customWidth="1"/>
    <col min="13" max="13" width="32.44140625" customWidth="1"/>
    <col min="14" max="256" width="11.44140625" customWidth="1"/>
  </cols>
  <sheetData>
    <row r="1" spans="2:32" ht="15.75" customHeight="1" thickTop="1" x14ac:dyDescent="0.25">
      <c r="B1" s="274" t="s">
        <v>91</v>
      </c>
      <c r="C1" s="56"/>
      <c r="D1" s="56"/>
      <c r="E1" s="258" t="s">
        <v>92</v>
      </c>
      <c r="F1" s="237" t="s">
        <v>116</v>
      </c>
      <c r="G1" s="238"/>
      <c r="H1" s="260" t="s">
        <v>120</v>
      </c>
      <c r="I1" s="240" t="s">
        <v>108</v>
      </c>
      <c r="J1" s="240"/>
      <c r="K1" s="240"/>
      <c r="L1" s="240"/>
      <c r="M1" s="241" t="s">
        <v>94</v>
      </c>
    </row>
    <row r="2" spans="2:32" ht="31.5" customHeight="1" x14ac:dyDescent="0.25">
      <c r="B2" s="275"/>
      <c r="C2" s="57"/>
      <c r="D2" s="57"/>
      <c r="E2" s="259"/>
      <c r="F2" s="25" t="s">
        <v>118</v>
      </c>
      <c r="G2" s="25" t="s">
        <v>117</v>
      </c>
      <c r="H2" s="261"/>
      <c r="I2" s="25" t="s">
        <v>113</v>
      </c>
      <c r="J2" s="25" t="s">
        <v>114</v>
      </c>
      <c r="K2" s="21" t="s">
        <v>100</v>
      </c>
      <c r="L2" s="34" t="s">
        <v>90</v>
      </c>
      <c r="M2" s="242"/>
      <c r="O2" s="15"/>
      <c r="P2" s="13"/>
      <c r="Q2" s="13"/>
      <c r="R2" s="13"/>
      <c r="S2" s="13"/>
      <c r="T2" s="13"/>
      <c r="U2" s="13"/>
      <c r="V2" s="13"/>
      <c r="W2" s="13"/>
      <c r="X2" s="15"/>
      <c r="Y2" s="13"/>
      <c r="Z2" s="13"/>
      <c r="AA2" s="13"/>
      <c r="AB2" s="13"/>
      <c r="AC2" s="13"/>
      <c r="AD2" s="13"/>
      <c r="AE2" s="13"/>
      <c r="AF2" s="13"/>
    </row>
    <row r="3" spans="2:32" ht="15.6" x14ac:dyDescent="0.25">
      <c r="B3" s="70" t="s">
        <v>122</v>
      </c>
      <c r="C3" s="18" t="s">
        <v>121</v>
      </c>
      <c r="D3" s="69"/>
      <c r="E3" s="10"/>
      <c r="F3" s="12"/>
      <c r="G3" s="11"/>
      <c r="H3" s="11"/>
      <c r="I3" s="11"/>
      <c r="J3" s="11"/>
      <c r="K3" s="11"/>
      <c r="L3" s="12"/>
      <c r="M3" s="32"/>
      <c r="O3" s="13"/>
      <c r="P3" s="13"/>
      <c r="Q3" s="13"/>
      <c r="R3" s="13"/>
      <c r="S3" s="13"/>
      <c r="T3" s="13"/>
      <c r="U3" s="13"/>
      <c r="V3" s="15"/>
      <c r="W3" s="15"/>
      <c r="X3" s="13"/>
      <c r="Y3" s="13"/>
      <c r="Z3" s="13"/>
      <c r="AA3" s="13"/>
      <c r="AB3" s="13"/>
      <c r="AC3" s="13"/>
      <c r="AD3" s="13"/>
      <c r="AE3" s="15"/>
      <c r="AF3" s="15"/>
    </row>
    <row r="4" spans="2:32" x14ac:dyDescent="0.25">
      <c r="B4" s="71"/>
      <c r="C4" s="77" t="s">
        <v>7</v>
      </c>
      <c r="D4" s="61" t="s">
        <v>95</v>
      </c>
      <c r="E4" s="63"/>
      <c r="F4" s="63"/>
      <c r="G4" s="63"/>
      <c r="H4" s="63"/>
      <c r="I4" s="63"/>
      <c r="J4" s="63"/>
      <c r="K4" s="63"/>
      <c r="L4" s="63"/>
      <c r="M4" s="64"/>
      <c r="O4" s="13"/>
      <c r="P4" s="13"/>
      <c r="Q4" s="13"/>
      <c r="R4" s="13"/>
      <c r="S4" s="13"/>
      <c r="T4" s="13"/>
      <c r="U4" s="13"/>
      <c r="V4" s="15"/>
      <c r="W4" s="15"/>
      <c r="X4" s="13"/>
      <c r="Y4" s="13"/>
      <c r="Z4" s="13"/>
      <c r="AA4" s="13"/>
      <c r="AB4" s="13"/>
      <c r="AC4" s="13"/>
      <c r="AD4" s="13"/>
      <c r="AE4" s="15"/>
      <c r="AF4" s="15"/>
    </row>
    <row r="5" spans="2:32" x14ac:dyDescent="0.25">
      <c r="B5" s="72"/>
      <c r="C5" s="78"/>
      <c r="D5" s="77">
        <v>1</v>
      </c>
      <c r="E5" s="65" t="s">
        <v>8</v>
      </c>
      <c r="F5" s="63"/>
      <c r="G5" s="63"/>
      <c r="H5" s="63"/>
      <c r="I5" s="63"/>
      <c r="J5" s="63"/>
      <c r="K5" s="63"/>
      <c r="L5" s="63"/>
      <c r="M5" s="64"/>
      <c r="X5" s="60"/>
      <c r="Y5" s="60"/>
      <c r="Z5" s="60"/>
      <c r="AA5" s="60"/>
      <c r="AB5" s="60"/>
      <c r="AC5" s="60"/>
      <c r="AE5" s="91"/>
    </row>
    <row r="6" spans="2:32" s="9" customFormat="1" ht="19.95" customHeight="1" x14ac:dyDescent="0.25">
      <c r="B6" s="73"/>
      <c r="C6" s="79"/>
      <c r="D6" s="79"/>
      <c r="E6" s="66" t="s">
        <v>9</v>
      </c>
      <c r="F6" s="16">
        <v>120000</v>
      </c>
      <c r="G6" s="133">
        <v>10</v>
      </c>
      <c r="H6" s="17">
        <v>10</v>
      </c>
      <c r="I6" s="132">
        <f>L6*0.77</f>
        <v>0.97020000000000006</v>
      </c>
      <c r="J6" s="132">
        <f>L6*0.23</f>
        <v>0.2898</v>
      </c>
      <c r="K6" s="132"/>
      <c r="L6" s="132">
        <v>1.26</v>
      </c>
      <c r="M6" s="271" t="s">
        <v>197</v>
      </c>
      <c r="O6"/>
      <c r="P6"/>
      <c r="Q6"/>
      <c r="R6"/>
      <c r="S6"/>
      <c r="T6"/>
      <c r="U6"/>
      <c r="V6"/>
      <c r="W6" s="91"/>
      <c r="X6" s="92"/>
      <c r="Y6" s="92"/>
      <c r="Z6" s="92"/>
      <c r="AA6" s="92"/>
      <c r="AB6" s="92"/>
      <c r="AC6" s="92"/>
      <c r="AD6" s="92"/>
      <c r="AE6" s="91"/>
      <c r="AF6" s="93"/>
    </row>
    <row r="7" spans="2:32" x14ac:dyDescent="0.25">
      <c r="B7" s="74"/>
      <c r="C7" s="80"/>
      <c r="D7" s="80"/>
      <c r="E7" s="67" t="s">
        <v>10</v>
      </c>
      <c r="F7" s="16">
        <v>50000</v>
      </c>
      <c r="G7" s="133">
        <v>4</v>
      </c>
      <c r="H7" s="17">
        <v>4</v>
      </c>
      <c r="I7" s="132">
        <f t="shared" ref="I7:I15" si="0">L7*0.77</f>
        <v>0.16170000000000001</v>
      </c>
      <c r="J7" s="132">
        <f t="shared" ref="J7:J15" si="1">L7*0.23</f>
        <v>4.8300000000000003E-2</v>
      </c>
      <c r="K7" s="132"/>
      <c r="L7" s="132">
        <v>0.21</v>
      </c>
      <c r="M7" s="271"/>
    </row>
    <row r="8" spans="2:32" x14ac:dyDescent="0.25">
      <c r="B8" s="74"/>
      <c r="C8" s="80"/>
      <c r="D8" s="80"/>
      <c r="E8" s="67" t="s">
        <v>11</v>
      </c>
      <c r="F8" s="16">
        <v>10000</v>
      </c>
      <c r="G8" s="133">
        <v>1</v>
      </c>
      <c r="H8" s="17">
        <v>1</v>
      </c>
      <c r="I8" s="132">
        <f t="shared" si="0"/>
        <v>8.4700000000000001E-3</v>
      </c>
      <c r="J8" s="132">
        <f t="shared" si="1"/>
        <v>2.5300000000000001E-3</v>
      </c>
      <c r="K8" s="132"/>
      <c r="L8" s="132">
        <v>1.0999999999999999E-2</v>
      </c>
      <c r="M8" s="271"/>
    </row>
    <row r="9" spans="2:32" x14ac:dyDescent="0.25">
      <c r="B9" s="74"/>
      <c r="C9" s="80"/>
      <c r="D9" s="80"/>
      <c r="E9" s="67" t="s">
        <v>12</v>
      </c>
      <c r="F9" s="16">
        <v>1000000</v>
      </c>
      <c r="G9" s="133">
        <v>1</v>
      </c>
      <c r="H9" s="17">
        <v>1</v>
      </c>
      <c r="I9" s="132">
        <f t="shared" si="0"/>
        <v>0.80850000000000011</v>
      </c>
      <c r="J9" s="132">
        <f t="shared" si="1"/>
        <v>0.24150000000000002</v>
      </c>
      <c r="K9" s="132"/>
      <c r="L9" s="132">
        <v>1.05</v>
      </c>
      <c r="M9" s="271"/>
    </row>
    <row r="10" spans="2:32" x14ac:dyDescent="0.25">
      <c r="B10" s="74"/>
      <c r="C10" s="80"/>
      <c r="D10" s="80"/>
      <c r="E10" s="67" t="s">
        <v>13</v>
      </c>
      <c r="F10" s="16">
        <v>35000</v>
      </c>
      <c r="G10" s="133">
        <v>1</v>
      </c>
      <c r="H10" s="17">
        <v>1</v>
      </c>
      <c r="I10" s="132">
        <f t="shared" si="0"/>
        <v>0.28336</v>
      </c>
      <c r="J10" s="132">
        <f t="shared" si="1"/>
        <v>8.4640000000000007E-2</v>
      </c>
      <c r="K10" s="132"/>
      <c r="L10" s="132">
        <v>0.36799999999999999</v>
      </c>
      <c r="M10" s="271"/>
    </row>
    <row r="11" spans="2:32" x14ac:dyDescent="0.25">
      <c r="B11" s="74"/>
      <c r="C11" s="80"/>
      <c r="D11" s="80"/>
      <c r="E11" s="67" t="s">
        <v>14</v>
      </c>
      <c r="F11" s="16">
        <v>50000</v>
      </c>
      <c r="G11" s="133">
        <v>15</v>
      </c>
      <c r="H11" s="17">
        <v>15</v>
      </c>
      <c r="I11" s="132">
        <f t="shared" si="0"/>
        <v>0.60676000000000008</v>
      </c>
      <c r="J11" s="132">
        <f t="shared" si="1"/>
        <v>0.18124000000000001</v>
      </c>
      <c r="K11" s="132"/>
      <c r="L11" s="132">
        <v>0.78800000000000003</v>
      </c>
      <c r="M11" s="271"/>
      <c r="N11" s="168"/>
    </row>
    <row r="12" spans="2:32" x14ac:dyDescent="0.25">
      <c r="B12" s="74"/>
      <c r="C12" s="80"/>
      <c r="D12" s="80"/>
      <c r="E12" s="67" t="s">
        <v>15</v>
      </c>
      <c r="F12" s="16">
        <v>100000</v>
      </c>
      <c r="G12" s="133">
        <v>10</v>
      </c>
      <c r="H12" s="17">
        <v>10</v>
      </c>
      <c r="I12" s="132">
        <f t="shared" si="0"/>
        <v>0.80850000000000011</v>
      </c>
      <c r="J12" s="132">
        <f t="shared" si="1"/>
        <v>0.24150000000000002</v>
      </c>
      <c r="K12" s="132"/>
      <c r="L12" s="132">
        <v>1.05</v>
      </c>
      <c r="M12" s="271"/>
    </row>
    <row r="13" spans="2:32" ht="14.25" customHeight="1" x14ac:dyDescent="0.25">
      <c r="B13" s="74"/>
      <c r="C13" s="80"/>
      <c r="D13" s="80"/>
      <c r="E13" s="68" t="str">
        <f>[2]GOODS!$C$43</f>
        <v>Air Conditioners (DC Inverter)</v>
      </c>
      <c r="F13" s="16">
        <v>90000</v>
      </c>
      <c r="G13" s="133">
        <v>5</v>
      </c>
      <c r="H13" s="17">
        <v>5</v>
      </c>
      <c r="I13" s="132">
        <f t="shared" si="0"/>
        <v>0.36420999999999998</v>
      </c>
      <c r="J13" s="132">
        <f t="shared" si="1"/>
        <v>0.10879</v>
      </c>
      <c r="K13" s="132"/>
      <c r="L13" s="132">
        <v>0.47299999999999998</v>
      </c>
      <c r="M13" s="271"/>
    </row>
    <row r="14" spans="2:32" x14ac:dyDescent="0.25">
      <c r="B14" s="74"/>
      <c r="C14" s="80"/>
      <c r="D14" s="80"/>
      <c r="E14" s="68" t="s">
        <v>71</v>
      </c>
      <c r="F14" s="16">
        <v>61000</v>
      </c>
      <c r="G14" s="133">
        <v>1</v>
      </c>
      <c r="H14" s="17">
        <v>1</v>
      </c>
      <c r="I14" s="132">
        <f t="shared" si="0"/>
        <v>4.6969999999999998E-2</v>
      </c>
      <c r="J14" s="132">
        <f t="shared" si="1"/>
        <v>1.4030000000000001E-2</v>
      </c>
      <c r="K14" s="132"/>
      <c r="L14" s="132">
        <v>6.0999999999999999E-2</v>
      </c>
      <c r="M14" s="271"/>
    </row>
    <row r="15" spans="2:32" x14ac:dyDescent="0.25">
      <c r="B15" s="74"/>
      <c r="C15" s="80"/>
      <c r="D15" s="82"/>
      <c r="E15" s="68" t="s">
        <v>29</v>
      </c>
      <c r="F15" s="16">
        <v>251000</v>
      </c>
      <c r="G15" s="133">
        <v>1</v>
      </c>
      <c r="H15" s="17">
        <v>1</v>
      </c>
      <c r="I15" s="132">
        <f t="shared" si="0"/>
        <v>0.19327</v>
      </c>
      <c r="J15" s="132">
        <f t="shared" si="1"/>
        <v>5.7730000000000004E-2</v>
      </c>
      <c r="K15" s="132"/>
      <c r="L15" s="132">
        <v>0.251</v>
      </c>
      <c r="M15" s="271"/>
    </row>
    <row r="16" spans="2:32" x14ac:dyDescent="0.25">
      <c r="B16" s="74"/>
      <c r="C16" s="80"/>
      <c r="D16" s="103" t="s">
        <v>126</v>
      </c>
      <c r="E16" s="129"/>
      <c r="F16" s="130"/>
      <c r="G16" s="143"/>
      <c r="H16" s="122"/>
      <c r="I16" s="122">
        <f t="shared" ref="I16:L16" si="2">SUM(I6:I15)</f>
        <v>4.2519400000000003</v>
      </c>
      <c r="J16" s="122">
        <f t="shared" si="2"/>
        <v>1.2700600000000002</v>
      </c>
      <c r="K16" s="122">
        <f t="shared" si="2"/>
        <v>0</v>
      </c>
      <c r="L16" s="122">
        <f t="shared" si="2"/>
        <v>5.5219999999999994</v>
      </c>
      <c r="M16" s="131"/>
      <c r="N16" s="168"/>
    </row>
    <row r="17" spans="2:13" x14ac:dyDescent="0.25">
      <c r="B17" s="75"/>
      <c r="C17" s="81"/>
      <c r="D17" s="83">
        <v>2</v>
      </c>
      <c r="E17" s="62" t="s">
        <v>16</v>
      </c>
      <c r="F17" s="128"/>
      <c r="G17" s="145"/>
      <c r="H17" s="128"/>
      <c r="I17" s="146"/>
      <c r="J17" s="146"/>
      <c r="K17" s="146"/>
      <c r="L17" s="146"/>
      <c r="M17" s="64"/>
    </row>
    <row r="18" spans="2:13" ht="16.95" customHeight="1" x14ac:dyDescent="0.25">
      <c r="B18" s="74"/>
      <c r="C18" s="80"/>
      <c r="D18" s="80"/>
      <c r="E18" s="67" t="s">
        <v>17</v>
      </c>
      <c r="F18" s="16">
        <v>8000000</v>
      </c>
      <c r="G18" s="133">
        <v>5</v>
      </c>
      <c r="H18" s="17">
        <v>5</v>
      </c>
      <c r="I18" s="132">
        <f t="shared" ref="I18:I20" si="3">L18*0.77</f>
        <v>32.345390000000002</v>
      </c>
      <c r="J18" s="132">
        <f t="shared" ref="J18:J20" si="4">L18*0.23</f>
        <v>9.6616099999999996</v>
      </c>
      <c r="K18" s="132">
        <f>((F18*H18/100)*0)/1000000</f>
        <v>0</v>
      </c>
      <c r="L18" s="132">
        <v>42.006999999999998</v>
      </c>
      <c r="M18" s="271" t="s">
        <v>197</v>
      </c>
    </row>
    <row r="19" spans="2:13" x14ac:dyDescent="0.25">
      <c r="B19" s="74"/>
      <c r="C19" s="80"/>
      <c r="D19" s="80"/>
      <c r="E19" s="67" t="s">
        <v>142</v>
      </c>
      <c r="F19" s="16">
        <v>3500000</v>
      </c>
      <c r="G19" s="133">
        <v>3</v>
      </c>
      <c r="H19" s="17">
        <v>3</v>
      </c>
      <c r="I19" s="132">
        <f t="shared" si="3"/>
        <v>8.4907900000000005</v>
      </c>
      <c r="J19" s="132">
        <f t="shared" si="4"/>
        <v>2.5362100000000001</v>
      </c>
      <c r="K19" s="132">
        <f>((F19*H19/100)*0)/1000000</f>
        <v>0</v>
      </c>
      <c r="L19" s="132">
        <v>11.026999999999999</v>
      </c>
      <c r="M19" s="271"/>
    </row>
    <row r="20" spans="2:13" x14ac:dyDescent="0.25">
      <c r="B20" s="74"/>
      <c r="C20" s="80"/>
      <c r="D20" s="82"/>
      <c r="E20" s="67" t="s">
        <v>5</v>
      </c>
      <c r="F20" s="16">
        <v>80000</v>
      </c>
      <c r="G20" s="133">
        <v>2</v>
      </c>
      <c r="H20" s="17">
        <v>2</v>
      </c>
      <c r="I20" s="132">
        <f t="shared" si="3"/>
        <v>0.12936</v>
      </c>
      <c r="J20" s="132">
        <f t="shared" si="4"/>
        <v>3.8640000000000001E-2</v>
      </c>
      <c r="K20" s="132">
        <f>((F20*H20/100)*0)/1000000</f>
        <v>0</v>
      </c>
      <c r="L20" s="132">
        <v>0.16800000000000001</v>
      </c>
      <c r="M20" s="271"/>
    </row>
    <row r="21" spans="2:13" x14ac:dyDescent="0.25">
      <c r="B21" s="74"/>
      <c r="C21" s="80"/>
      <c r="D21" s="103" t="s">
        <v>126</v>
      </c>
      <c r="E21" s="135"/>
      <c r="F21" s="136"/>
      <c r="G21" s="147"/>
      <c r="H21" s="122"/>
      <c r="I21" s="122">
        <f>SUM(I18:I20)</f>
        <v>40.965539999999997</v>
      </c>
      <c r="J21" s="122">
        <f t="shared" ref="J21:L21" si="5">SUM(J18:J20)</f>
        <v>12.236459999999999</v>
      </c>
      <c r="K21" s="122">
        <f t="shared" si="5"/>
        <v>0</v>
      </c>
      <c r="L21" s="122">
        <f t="shared" si="5"/>
        <v>53.201999999999998</v>
      </c>
      <c r="M21" s="131"/>
    </row>
    <row r="22" spans="2:13" x14ac:dyDescent="0.25">
      <c r="B22" s="75"/>
      <c r="C22" s="81"/>
      <c r="D22" s="83">
        <v>3</v>
      </c>
      <c r="E22" s="62" t="s">
        <v>18</v>
      </c>
      <c r="F22" s="98"/>
      <c r="G22" s="148"/>
      <c r="H22" s="149"/>
      <c r="I22" s="149"/>
      <c r="J22" s="149"/>
      <c r="K22" s="149"/>
      <c r="L22" s="149"/>
      <c r="M22" s="28"/>
    </row>
    <row r="23" spans="2:13" ht="16.95" customHeight="1" x14ac:dyDescent="0.25">
      <c r="B23" s="74"/>
      <c r="C23" s="80"/>
      <c r="D23" s="80"/>
      <c r="E23" s="67" t="s">
        <v>143</v>
      </c>
      <c r="F23" s="16">
        <v>5000000</v>
      </c>
      <c r="G23" s="133">
        <v>5</v>
      </c>
      <c r="H23" s="17">
        <v>1</v>
      </c>
      <c r="I23" s="134">
        <f>L23*0.46</f>
        <v>2.4154600000000004</v>
      </c>
      <c r="J23" s="132">
        <f>L23*0.42</f>
        <v>2.2054200000000002</v>
      </c>
      <c r="K23" s="132">
        <f>L23*0.12</f>
        <v>0.63012000000000001</v>
      </c>
      <c r="L23" s="132">
        <v>5.2510000000000003</v>
      </c>
      <c r="M23" s="271" t="s">
        <v>96</v>
      </c>
    </row>
    <row r="24" spans="2:13" x14ac:dyDescent="0.25">
      <c r="B24" s="74"/>
      <c r="C24" s="80"/>
      <c r="D24" s="80"/>
      <c r="E24" s="67" t="s">
        <v>48</v>
      </c>
      <c r="F24" s="16">
        <v>3426038</v>
      </c>
      <c r="G24" s="133">
        <v>1</v>
      </c>
      <c r="H24" s="17">
        <v>1</v>
      </c>
      <c r="I24" s="134">
        <f>L24*0.46</f>
        <v>1.6550800000000001</v>
      </c>
      <c r="J24" s="132">
        <f>L24*0.42</f>
        <v>1.5111599999999998</v>
      </c>
      <c r="K24" s="132">
        <f>L24*0.12</f>
        <v>0.43175999999999998</v>
      </c>
      <c r="L24" s="132">
        <v>3.5979999999999999</v>
      </c>
      <c r="M24" s="271"/>
    </row>
    <row r="25" spans="2:13" x14ac:dyDescent="0.25">
      <c r="B25" s="74"/>
      <c r="C25" s="80"/>
      <c r="D25" s="80"/>
      <c r="E25" s="67" t="s">
        <v>144</v>
      </c>
      <c r="F25" s="16">
        <v>2000000</v>
      </c>
      <c r="G25" s="133">
        <v>5</v>
      </c>
      <c r="H25" s="17">
        <v>0</v>
      </c>
      <c r="I25" s="134">
        <f>((F25*H25/100)*46/1000000)</f>
        <v>0</v>
      </c>
      <c r="J25" s="132">
        <f>((F25*H25/100)*42)/1000000</f>
        <v>0</v>
      </c>
      <c r="K25" s="132">
        <f>((F25*H25/100)*12)/1000000</f>
        <v>0</v>
      </c>
      <c r="L25" s="132">
        <v>0</v>
      </c>
      <c r="M25" s="271"/>
    </row>
    <row r="26" spans="2:13" x14ac:dyDescent="0.25">
      <c r="B26" s="74"/>
      <c r="C26" s="80"/>
      <c r="D26" s="80"/>
      <c r="E26" s="67" t="s">
        <v>73</v>
      </c>
      <c r="F26" s="16">
        <v>2000000</v>
      </c>
      <c r="G26" s="133">
        <v>2</v>
      </c>
      <c r="H26" s="17">
        <v>0</v>
      </c>
      <c r="I26" s="134">
        <f>((F26*H26/100)*46/1000000)</f>
        <v>0</v>
      </c>
      <c r="J26" s="132">
        <f>((F26*H26/100)*42)/1000000</f>
        <v>0</v>
      </c>
      <c r="K26" s="132">
        <f>((F26*H26/100)*12)/1000000</f>
        <v>0</v>
      </c>
      <c r="L26" s="132">
        <v>0</v>
      </c>
      <c r="M26" s="271"/>
    </row>
    <row r="27" spans="2:13" x14ac:dyDescent="0.25">
      <c r="B27" s="74"/>
      <c r="C27" s="80"/>
      <c r="D27" s="82"/>
      <c r="E27" s="67" t="s">
        <v>72</v>
      </c>
      <c r="F27" s="16">
        <v>5000000</v>
      </c>
      <c r="G27" s="133">
        <v>1</v>
      </c>
      <c r="H27" s="17">
        <v>0</v>
      </c>
      <c r="I27" s="134">
        <f>((F27*H27/100)*46/1000000)</f>
        <v>0</v>
      </c>
      <c r="J27" s="132">
        <f>((F27*H27/100)*42)/1000000</f>
        <v>0</v>
      </c>
      <c r="K27" s="132">
        <f>((F27*H27/100)*12)/1000000</f>
        <v>0</v>
      </c>
      <c r="L27" s="132">
        <v>0</v>
      </c>
      <c r="M27" s="271"/>
    </row>
    <row r="28" spans="2:13" x14ac:dyDescent="0.25">
      <c r="B28" s="74"/>
      <c r="C28" s="82"/>
      <c r="D28" s="103" t="s">
        <v>126</v>
      </c>
      <c r="E28" s="135"/>
      <c r="F28" s="136"/>
      <c r="G28" s="147"/>
      <c r="H28" s="122"/>
      <c r="I28" s="122">
        <f t="shared" ref="I28:L28" si="6">SUM(I23:I27)</f>
        <v>4.0705400000000003</v>
      </c>
      <c r="J28" s="122">
        <f t="shared" si="6"/>
        <v>3.71658</v>
      </c>
      <c r="K28" s="122">
        <f t="shared" si="6"/>
        <v>1.0618799999999999</v>
      </c>
      <c r="L28" s="122">
        <f t="shared" si="6"/>
        <v>8.8490000000000002</v>
      </c>
      <c r="M28" s="131"/>
    </row>
    <row r="29" spans="2:13" x14ac:dyDescent="0.25">
      <c r="B29" s="74"/>
      <c r="C29" s="137" t="s">
        <v>198</v>
      </c>
      <c r="D29" s="137"/>
      <c r="E29" s="138"/>
      <c r="F29" s="139"/>
      <c r="G29" s="150"/>
      <c r="H29" s="151"/>
      <c r="I29" s="151">
        <f t="shared" ref="I29:L29" si="7">SUM(I16,I21,I28)</f>
        <v>49.288019999999996</v>
      </c>
      <c r="J29" s="151">
        <f t="shared" si="7"/>
        <v>17.223099999999999</v>
      </c>
      <c r="K29" s="151">
        <f t="shared" si="7"/>
        <v>1.0618799999999999</v>
      </c>
      <c r="L29" s="151">
        <f t="shared" si="7"/>
        <v>67.572999999999993</v>
      </c>
      <c r="M29" s="140"/>
    </row>
    <row r="30" spans="2:13" x14ac:dyDescent="0.25">
      <c r="B30" s="75"/>
      <c r="C30" s="83" t="s">
        <v>4</v>
      </c>
      <c r="D30" s="61" t="s">
        <v>19</v>
      </c>
      <c r="E30" s="61"/>
      <c r="F30" s="98"/>
      <c r="G30" s="148"/>
      <c r="H30" s="149"/>
      <c r="I30" s="149"/>
      <c r="J30" s="149"/>
      <c r="K30" s="149"/>
      <c r="L30" s="149"/>
      <c r="M30" s="64"/>
    </row>
    <row r="31" spans="2:13" x14ac:dyDescent="0.25">
      <c r="B31" s="75"/>
      <c r="C31" s="81"/>
      <c r="D31" s="83">
        <v>1</v>
      </c>
      <c r="E31" s="62" t="s">
        <v>27</v>
      </c>
      <c r="F31" s="98"/>
      <c r="G31" s="148"/>
      <c r="H31" s="149"/>
      <c r="I31" s="149"/>
      <c r="J31" s="149"/>
      <c r="K31" s="149"/>
      <c r="L31" s="149"/>
      <c r="M31" s="64"/>
    </row>
    <row r="32" spans="2:13" x14ac:dyDescent="0.25">
      <c r="B32" s="74"/>
      <c r="C32" s="80"/>
      <c r="D32" s="80"/>
      <c r="E32" s="67" t="s">
        <v>20</v>
      </c>
      <c r="F32" s="16">
        <v>120000</v>
      </c>
      <c r="G32" s="133">
        <v>16</v>
      </c>
      <c r="H32" s="133">
        <v>16</v>
      </c>
      <c r="I32" s="132">
        <f t="shared" ref="I32:I41" si="8">L32*0.77</f>
        <v>1.5523200000000001</v>
      </c>
      <c r="J32" s="132">
        <f t="shared" ref="J32:J41" si="9">L32*0.23</f>
        <v>0.46368000000000004</v>
      </c>
      <c r="K32" s="132">
        <f t="shared" ref="K32:K41" si="10">((F32*H32/100)*0)/1000000</f>
        <v>0</v>
      </c>
      <c r="L32" s="132">
        <v>2.016</v>
      </c>
      <c r="M32" s="271" t="s">
        <v>197</v>
      </c>
    </row>
    <row r="33" spans="2:13" x14ac:dyDescent="0.25">
      <c r="B33" s="74"/>
      <c r="C33" s="80"/>
      <c r="D33" s="80"/>
      <c r="E33" s="67" t="s">
        <v>21</v>
      </c>
      <c r="F33" s="16">
        <v>80000</v>
      </c>
      <c r="G33" s="133">
        <v>8</v>
      </c>
      <c r="H33" s="133">
        <v>8</v>
      </c>
      <c r="I33" s="132">
        <f t="shared" si="8"/>
        <v>0.51744000000000001</v>
      </c>
      <c r="J33" s="132">
        <f t="shared" si="9"/>
        <v>0.15456</v>
      </c>
      <c r="K33" s="132">
        <f t="shared" si="10"/>
        <v>0</v>
      </c>
      <c r="L33" s="132">
        <v>0.67199999999999993</v>
      </c>
      <c r="M33" s="271"/>
    </row>
    <row r="34" spans="2:13" x14ac:dyDescent="0.25">
      <c r="B34" s="74"/>
      <c r="C34" s="80"/>
      <c r="D34" s="80"/>
      <c r="E34" s="67" t="s">
        <v>22</v>
      </c>
      <c r="F34" s="16">
        <v>55000</v>
      </c>
      <c r="G34" s="133">
        <v>8</v>
      </c>
      <c r="H34" s="133">
        <v>8</v>
      </c>
      <c r="I34" s="132">
        <f t="shared" si="8"/>
        <v>0.35574</v>
      </c>
      <c r="J34" s="132">
        <f t="shared" si="9"/>
        <v>0.10626000000000001</v>
      </c>
      <c r="K34" s="132">
        <f t="shared" si="10"/>
        <v>0</v>
      </c>
      <c r="L34" s="132">
        <v>0.46200000000000002</v>
      </c>
      <c r="M34" s="271"/>
    </row>
    <row r="35" spans="2:13" x14ac:dyDescent="0.25">
      <c r="B35" s="74"/>
      <c r="C35" s="80"/>
      <c r="D35" s="80"/>
      <c r="E35" s="67" t="s">
        <v>23</v>
      </c>
      <c r="F35" s="16">
        <v>250000</v>
      </c>
      <c r="G35" s="133">
        <v>4</v>
      </c>
      <c r="H35" s="133">
        <v>4</v>
      </c>
      <c r="I35" s="132">
        <f t="shared" si="8"/>
        <v>0.80850000000000011</v>
      </c>
      <c r="J35" s="132">
        <f t="shared" si="9"/>
        <v>0.24150000000000002</v>
      </c>
      <c r="K35" s="132">
        <f t="shared" si="10"/>
        <v>0</v>
      </c>
      <c r="L35" s="132">
        <v>1.05</v>
      </c>
      <c r="M35" s="271"/>
    </row>
    <row r="36" spans="2:13" x14ac:dyDescent="0.25">
      <c r="B36" s="74"/>
      <c r="C36" s="80"/>
      <c r="D36" s="80"/>
      <c r="E36" s="67" t="s">
        <v>145</v>
      </c>
      <c r="F36" s="16">
        <v>150000</v>
      </c>
      <c r="G36" s="133">
        <v>4</v>
      </c>
      <c r="H36" s="133">
        <v>4</v>
      </c>
      <c r="I36" s="132">
        <f t="shared" si="8"/>
        <v>0.48510000000000003</v>
      </c>
      <c r="J36" s="132">
        <f t="shared" si="9"/>
        <v>0.1449</v>
      </c>
      <c r="K36" s="132">
        <f t="shared" si="10"/>
        <v>0</v>
      </c>
      <c r="L36" s="132">
        <v>0.63</v>
      </c>
      <c r="M36" s="271"/>
    </row>
    <row r="37" spans="2:13" x14ac:dyDescent="0.25">
      <c r="B37" s="74"/>
      <c r="C37" s="80"/>
      <c r="D37" s="80"/>
      <c r="E37" s="67" t="s">
        <v>24</v>
      </c>
      <c r="F37" s="16">
        <v>160000</v>
      </c>
      <c r="G37" s="133">
        <v>4</v>
      </c>
      <c r="H37" s="133">
        <v>4</v>
      </c>
      <c r="I37" s="132">
        <f t="shared" si="8"/>
        <v>0.51744000000000001</v>
      </c>
      <c r="J37" s="132">
        <f t="shared" si="9"/>
        <v>0.15456</v>
      </c>
      <c r="K37" s="132">
        <f t="shared" si="10"/>
        <v>0</v>
      </c>
      <c r="L37" s="132">
        <v>0.67199999999999993</v>
      </c>
      <c r="M37" s="271"/>
    </row>
    <row r="38" spans="2:13" x14ac:dyDescent="0.25">
      <c r="B38" s="74"/>
      <c r="C38" s="80"/>
      <c r="D38" s="80"/>
      <c r="E38" s="67" t="s">
        <v>25</v>
      </c>
      <c r="F38" s="16">
        <v>90000</v>
      </c>
      <c r="G38" s="133">
        <v>12</v>
      </c>
      <c r="H38" s="133">
        <v>12</v>
      </c>
      <c r="I38" s="132">
        <f t="shared" si="8"/>
        <v>0.87317999999999996</v>
      </c>
      <c r="J38" s="132">
        <f t="shared" si="9"/>
        <v>0.26082</v>
      </c>
      <c r="K38" s="132">
        <f t="shared" si="10"/>
        <v>0</v>
      </c>
      <c r="L38" s="132">
        <v>1.1339999999999999</v>
      </c>
      <c r="M38" s="271"/>
    </row>
    <row r="39" spans="2:13" x14ac:dyDescent="0.25">
      <c r="B39" s="74"/>
      <c r="C39" s="80"/>
      <c r="D39" s="80"/>
      <c r="E39" s="67" t="s">
        <v>26</v>
      </c>
      <c r="F39" s="16">
        <v>300000</v>
      </c>
      <c r="G39" s="133">
        <v>4</v>
      </c>
      <c r="H39" s="133">
        <v>4</v>
      </c>
      <c r="I39" s="132">
        <f t="shared" si="8"/>
        <v>0.97020000000000006</v>
      </c>
      <c r="J39" s="132">
        <f t="shared" si="9"/>
        <v>0.2898</v>
      </c>
      <c r="K39" s="132">
        <f t="shared" si="10"/>
        <v>0</v>
      </c>
      <c r="L39" s="132">
        <v>1.26</v>
      </c>
      <c r="M39" s="271"/>
    </row>
    <row r="40" spans="2:13" x14ac:dyDescent="0.25">
      <c r="B40" s="74"/>
      <c r="C40" s="80"/>
      <c r="D40" s="80"/>
      <c r="E40" s="67" t="s">
        <v>28</v>
      </c>
      <c r="F40" s="16">
        <v>1000000</v>
      </c>
      <c r="G40" s="133">
        <v>4</v>
      </c>
      <c r="H40" s="133">
        <v>4</v>
      </c>
      <c r="I40" s="132">
        <f t="shared" si="8"/>
        <v>3.2347700000000006</v>
      </c>
      <c r="J40" s="132">
        <f t="shared" si="9"/>
        <v>0.96623000000000014</v>
      </c>
      <c r="K40" s="132">
        <f t="shared" si="10"/>
        <v>0</v>
      </c>
      <c r="L40" s="132">
        <v>4.2010000000000005</v>
      </c>
      <c r="M40" s="271"/>
    </row>
    <row r="41" spans="2:13" x14ac:dyDescent="0.25">
      <c r="B41" s="74"/>
      <c r="C41" s="80"/>
      <c r="D41" s="82"/>
      <c r="E41" s="67" t="s">
        <v>29</v>
      </c>
      <c r="F41" s="16">
        <v>240000</v>
      </c>
      <c r="G41" s="133">
        <v>4</v>
      </c>
      <c r="H41" s="133">
        <v>4</v>
      </c>
      <c r="I41" s="132">
        <f t="shared" si="8"/>
        <v>0.77616000000000007</v>
      </c>
      <c r="J41" s="132">
        <f t="shared" si="9"/>
        <v>0.23184000000000002</v>
      </c>
      <c r="K41" s="132">
        <f t="shared" si="10"/>
        <v>0</v>
      </c>
      <c r="L41" s="132">
        <v>1.008</v>
      </c>
      <c r="M41" s="271"/>
    </row>
    <row r="42" spans="2:13" x14ac:dyDescent="0.25">
      <c r="B42" s="74"/>
      <c r="C42" s="80"/>
      <c r="D42" s="103" t="s">
        <v>126</v>
      </c>
      <c r="E42" s="135"/>
      <c r="F42" s="136"/>
      <c r="G42" s="122"/>
      <c r="H42" s="122"/>
      <c r="I42" s="122">
        <f t="shared" ref="I42:L42" si="11">SUM(I32:I41)</f>
        <v>10.090850000000001</v>
      </c>
      <c r="J42" s="122">
        <f t="shared" si="11"/>
        <v>3.0141500000000003</v>
      </c>
      <c r="K42" s="122">
        <f t="shared" si="11"/>
        <v>0</v>
      </c>
      <c r="L42" s="122">
        <f t="shared" si="11"/>
        <v>13.105</v>
      </c>
      <c r="M42" s="131"/>
    </row>
    <row r="43" spans="2:13" x14ac:dyDescent="0.25">
      <c r="B43" s="75"/>
      <c r="C43" s="81"/>
      <c r="D43" s="83">
        <v>2</v>
      </c>
      <c r="E43" s="62" t="s">
        <v>146</v>
      </c>
      <c r="F43" s="98"/>
      <c r="G43" s="149"/>
      <c r="H43" s="149"/>
      <c r="I43" s="149"/>
      <c r="J43" s="149"/>
      <c r="K43" s="149"/>
      <c r="L43" s="149"/>
      <c r="M43" s="64"/>
    </row>
    <row r="44" spans="2:13" ht="16.95" customHeight="1" x14ac:dyDescent="0.25">
      <c r="B44" s="74"/>
      <c r="C44" s="80"/>
      <c r="D44" s="80"/>
      <c r="E44" s="67" t="s">
        <v>17</v>
      </c>
      <c r="F44" s="16">
        <v>8000000</v>
      </c>
      <c r="G44" s="133">
        <v>12</v>
      </c>
      <c r="H44" s="133">
        <v>12</v>
      </c>
      <c r="I44" s="132">
        <f t="shared" ref="I44:I46" si="12">L44*0.77</f>
        <v>77.628316919999989</v>
      </c>
      <c r="J44" s="132">
        <f t="shared" ref="J44:J46" si="13">L44*0.23</f>
        <v>23.187679079999999</v>
      </c>
      <c r="K44" s="132">
        <f>((F44*H44/100)*0)/1000000</f>
        <v>0</v>
      </c>
      <c r="L44" s="132">
        <v>100.81599599999998</v>
      </c>
      <c r="M44" s="271" t="s">
        <v>197</v>
      </c>
    </row>
    <row r="45" spans="2:13" x14ac:dyDescent="0.25">
      <c r="B45" s="74"/>
      <c r="C45" s="80"/>
      <c r="D45" s="80"/>
      <c r="E45" s="67" t="s">
        <v>147</v>
      </c>
      <c r="F45" s="16">
        <v>3500000</v>
      </c>
      <c r="G45" s="133">
        <v>8</v>
      </c>
      <c r="H45" s="133">
        <v>8</v>
      </c>
      <c r="I45" s="132">
        <f t="shared" si="12"/>
        <v>22.641850000000002</v>
      </c>
      <c r="J45" s="132">
        <f t="shared" si="13"/>
        <v>6.7631500000000004</v>
      </c>
      <c r="K45" s="132">
        <f>((F45*H45/100)*0)/1000000</f>
        <v>0</v>
      </c>
      <c r="L45" s="132">
        <v>29.405000000000001</v>
      </c>
      <c r="M45" s="271"/>
    </row>
    <row r="46" spans="2:13" x14ac:dyDescent="0.25">
      <c r="B46" s="74"/>
      <c r="C46" s="80"/>
      <c r="D46" s="82"/>
      <c r="E46" s="67" t="s">
        <v>5</v>
      </c>
      <c r="F46" s="16">
        <v>80000</v>
      </c>
      <c r="G46" s="133">
        <v>4</v>
      </c>
      <c r="H46" s="133">
        <v>4</v>
      </c>
      <c r="I46" s="132">
        <f t="shared" si="12"/>
        <v>0.25872000000000001</v>
      </c>
      <c r="J46" s="132">
        <f t="shared" si="13"/>
        <v>7.7280000000000001E-2</v>
      </c>
      <c r="K46" s="132">
        <f>((F46*H46/100)*0)/1000000</f>
        <v>0</v>
      </c>
      <c r="L46" s="132">
        <v>0.33599999999999997</v>
      </c>
      <c r="M46" s="271"/>
    </row>
    <row r="47" spans="2:13" x14ac:dyDescent="0.25">
      <c r="B47" s="74"/>
      <c r="C47" s="82"/>
      <c r="D47" s="103" t="s">
        <v>126</v>
      </c>
      <c r="E47" s="135"/>
      <c r="F47" s="130"/>
      <c r="G47" s="122"/>
      <c r="H47" s="122"/>
      <c r="I47" s="122">
        <f t="shared" ref="I47:L47" si="14">SUM(I44:I46)</f>
        <v>100.52888691999999</v>
      </c>
      <c r="J47" s="122">
        <f t="shared" si="14"/>
        <v>30.028109079999997</v>
      </c>
      <c r="K47" s="122">
        <f t="shared" si="14"/>
        <v>0</v>
      </c>
      <c r="L47" s="122">
        <f t="shared" si="14"/>
        <v>130.556996</v>
      </c>
      <c r="M47" s="131"/>
    </row>
    <row r="48" spans="2:13" x14ac:dyDescent="0.25">
      <c r="B48" s="76"/>
      <c r="C48" s="137" t="s">
        <v>199</v>
      </c>
      <c r="D48" s="137"/>
      <c r="E48" s="138"/>
      <c r="F48" s="141"/>
      <c r="G48" s="152"/>
      <c r="H48" s="151"/>
      <c r="I48" s="151">
        <f t="shared" ref="I48:L48" si="15">SUM(I42,I47)</f>
        <v>110.61973691999999</v>
      </c>
      <c r="J48" s="151">
        <f t="shared" si="15"/>
        <v>33.042259079999994</v>
      </c>
      <c r="K48" s="151">
        <f t="shared" si="15"/>
        <v>0</v>
      </c>
      <c r="L48" s="151">
        <f t="shared" si="15"/>
        <v>143.66199599999999</v>
      </c>
      <c r="M48" s="140"/>
    </row>
    <row r="49" spans="2:13" ht="24.75" customHeight="1" thickBot="1" x14ac:dyDescent="0.3">
      <c r="B49" s="84" t="s">
        <v>200</v>
      </c>
      <c r="C49" s="85"/>
      <c r="D49" s="86"/>
      <c r="E49" s="87"/>
      <c r="F49" s="88"/>
      <c r="G49" s="153"/>
      <c r="H49" s="112"/>
      <c r="I49" s="113">
        <f t="shared" ref="I49:L49" si="16">SUM(I29,I48)</f>
        <v>159.90775692</v>
      </c>
      <c r="J49" s="113">
        <f t="shared" si="16"/>
        <v>50.265359079999996</v>
      </c>
      <c r="K49" s="113">
        <f t="shared" si="16"/>
        <v>1.0618799999999999</v>
      </c>
      <c r="L49" s="113">
        <f t="shared" si="16"/>
        <v>211.23499599999997</v>
      </c>
      <c r="M49" s="142"/>
    </row>
    <row r="50" spans="2:13" ht="16.2" thickTop="1" x14ac:dyDescent="0.25">
      <c r="B50" s="90" t="s">
        <v>148</v>
      </c>
      <c r="C50" s="18" t="s">
        <v>149</v>
      </c>
      <c r="D50" s="69"/>
      <c r="E50" s="10"/>
      <c r="F50" s="69"/>
      <c r="G50" s="154"/>
      <c r="H50" s="154"/>
      <c r="I50" s="154"/>
      <c r="J50" s="154"/>
      <c r="K50" s="154"/>
      <c r="L50" s="69"/>
      <c r="M50" s="32"/>
    </row>
    <row r="51" spans="2:13" x14ac:dyDescent="0.25">
      <c r="B51" s="71"/>
      <c r="C51" s="77" t="s">
        <v>7</v>
      </c>
      <c r="D51" s="61" t="s">
        <v>95</v>
      </c>
      <c r="E51" s="63"/>
      <c r="F51" s="128"/>
      <c r="G51" s="128"/>
      <c r="H51" s="128"/>
      <c r="I51" s="128"/>
      <c r="J51" s="128"/>
      <c r="K51" s="128"/>
      <c r="L51" s="128"/>
      <c r="M51" s="64"/>
    </row>
    <row r="52" spans="2:13" x14ac:dyDescent="0.25">
      <c r="B52" s="72"/>
      <c r="C52" s="78"/>
      <c r="D52" s="77">
        <v>1</v>
      </c>
      <c r="E52" s="61" t="s">
        <v>150</v>
      </c>
      <c r="F52" s="128"/>
      <c r="G52" s="128"/>
      <c r="H52" s="128"/>
      <c r="I52" s="128"/>
      <c r="J52" s="128"/>
      <c r="K52" s="128"/>
      <c r="L52" s="128"/>
      <c r="M52" s="64"/>
    </row>
    <row r="53" spans="2:13" ht="16.95" customHeight="1" x14ac:dyDescent="0.25">
      <c r="B53" s="74"/>
      <c r="C53" s="80"/>
      <c r="D53" s="58" t="s">
        <v>156</v>
      </c>
      <c r="E53" s="67" t="s">
        <v>52</v>
      </c>
      <c r="F53" s="16">
        <v>500000</v>
      </c>
      <c r="G53" s="133">
        <v>84</v>
      </c>
      <c r="H53" s="133">
        <v>6</v>
      </c>
      <c r="I53" s="132">
        <f t="shared" ref="I53:I65" si="17">((F53*H53/100)*70)/1000000</f>
        <v>2.1</v>
      </c>
      <c r="J53" s="132">
        <f t="shared" ref="J53:J65" si="18">((F53*H53/100)*30)/1000000</f>
        <v>0.9</v>
      </c>
      <c r="K53" s="132">
        <f t="shared" ref="K53:K65" si="19">((F53*H53/100)*0)/1000000</f>
        <v>0</v>
      </c>
      <c r="L53" s="132">
        <f t="shared" ref="L53:L109" si="20">SUM(I53:K53)</f>
        <v>3</v>
      </c>
      <c r="M53" s="271" t="s">
        <v>97</v>
      </c>
    </row>
    <row r="54" spans="2:13" x14ac:dyDescent="0.25">
      <c r="B54" s="74"/>
      <c r="C54" s="80"/>
      <c r="D54" s="58" t="s">
        <v>157</v>
      </c>
      <c r="E54" s="67" t="s">
        <v>201</v>
      </c>
      <c r="F54" s="16">
        <v>400000</v>
      </c>
      <c r="G54" s="133">
        <v>84</v>
      </c>
      <c r="H54" s="133">
        <v>12</v>
      </c>
      <c r="I54" s="132">
        <f t="shared" si="17"/>
        <v>3.36</v>
      </c>
      <c r="J54" s="132">
        <f t="shared" si="18"/>
        <v>1.44</v>
      </c>
      <c r="K54" s="132">
        <f t="shared" si="19"/>
        <v>0</v>
      </c>
      <c r="L54" s="132">
        <f t="shared" si="20"/>
        <v>4.8</v>
      </c>
      <c r="M54" s="271"/>
    </row>
    <row r="55" spans="2:13" x14ac:dyDescent="0.25">
      <c r="B55" s="74"/>
      <c r="C55" s="80"/>
      <c r="D55" s="58" t="s">
        <v>158</v>
      </c>
      <c r="E55" s="67" t="s">
        <v>74</v>
      </c>
      <c r="F55" s="16">
        <v>300000</v>
      </c>
      <c r="G55" s="133">
        <v>84</v>
      </c>
      <c r="H55" s="133">
        <v>6</v>
      </c>
      <c r="I55" s="132">
        <f t="shared" si="17"/>
        <v>1.26</v>
      </c>
      <c r="J55" s="132">
        <f t="shared" si="18"/>
        <v>0.54</v>
      </c>
      <c r="K55" s="132">
        <f t="shared" si="19"/>
        <v>0</v>
      </c>
      <c r="L55" s="132">
        <f t="shared" si="20"/>
        <v>1.8</v>
      </c>
      <c r="M55" s="271"/>
    </row>
    <row r="56" spans="2:13" x14ac:dyDescent="0.25">
      <c r="B56" s="74"/>
      <c r="C56" s="80"/>
      <c r="D56" s="58" t="s">
        <v>159</v>
      </c>
      <c r="E56" s="67" t="s">
        <v>75</v>
      </c>
      <c r="F56" s="16">
        <v>300000</v>
      </c>
      <c r="G56" s="133">
        <v>84</v>
      </c>
      <c r="H56" s="133">
        <v>6</v>
      </c>
      <c r="I56" s="132">
        <f t="shared" si="17"/>
        <v>1.26</v>
      </c>
      <c r="J56" s="132">
        <f t="shared" si="18"/>
        <v>0.54</v>
      </c>
      <c r="K56" s="132">
        <f t="shared" si="19"/>
        <v>0</v>
      </c>
      <c r="L56" s="132">
        <f t="shared" si="20"/>
        <v>1.8</v>
      </c>
      <c r="M56" s="271"/>
    </row>
    <row r="57" spans="2:13" x14ac:dyDescent="0.25">
      <c r="B57" s="74"/>
      <c r="C57" s="80"/>
      <c r="D57" s="58" t="s">
        <v>160</v>
      </c>
      <c r="E57" s="67" t="s">
        <v>76</v>
      </c>
      <c r="F57" s="16">
        <v>300000</v>
      </c>
      <c r="G57" s="133">
        <v>84</v>
      </c>
      <c r="H57" s="133">
        <v>12</v>
      </c>
      <c r="I57" s="132">
        <f t="shared" si="17"/>
        <v>2.52</v>
      </c>
      <c r="J57" s="132">
        <f t="shared" si="18"/>
        <v>1.08</v>
      </c>
      <c r="K57" s="132">
        <f t="shared" si="19"/>
        <v>0</v>
      </c>
      <c r="L57" s="132">
        <f t="shared" si="20"/>
        <v>3.6</v>
      </c>
      <c r="M57" s="271"/>
    </row>
    <row r="58" spans="2:13" x14ac:dyDescent="0.25">
      <c r="B58" s="74"/>
      <c r="C58" s="80"/>
      <c r="D58" s="58" t="s">
        <v>161</v>
      </c>
      <c r="E58" s="67" t="s">
        <v>77</v>
      </c>
      <c r="F58" s="16">
        <v>300000</v>
      </c>
      <c r="G58" s="133">
        <v>84</v>
      </c>
      <c r="H58" s="133">
        <v>6</v>
      </c>
      <c r="I58" s="132">
        <f t="shared" si="17"/>
        <v>1.26</v>
      </c>
      <c r="J58" s="132">
        <f t="shared" si="18"/>
        <v>0.54</v>
      </c>
      <c r="K58" s="132">
        <f t="shared" si="19"/>
        <v>0</v>
      </c>
      <c r="L58" s="132">
        <f t="shared" si="20"/>
        <v>1.8</v>
      </c>
      <c r="M58" s="271"/>
    </row>
    <row r="59" spans="2:13" x14ac:dyDescent="0.25">
      <c r="B59" s="74"/>
      <c r="C59" s="80"/>
      <c r="D59" s="58" t="s">
        <v>162</v>
      </c>
      <c r="E59" s="67" t="s">
        <v>78</v>
      </c>
      <c r="F59" s="16">
        <v>250000</v>
      </c>
      <c r="G59" s="133">
        <v>84</v>
      </c>
      <c r="H59" s="133">
        <v>6</v>
      </c>
      <c r="I59" s="132">
        <f t="shared" si="17"/>
        <v>1.05</v>
      </c>
      <c r="J59" s="132">
        <f t="shared" si="18"/>
        <v>0.45</v>
      </c>
      <c r="K59" s="132">
        <f t="shared" si="19"/>
        <v>0</v>
      </c>
      <c r="L59" s="132">
        <f t="shared" ref="L59" si="21">SUM(I59:K59)</f>
        <v>1.5</v>
      </c>
      <c r="M59" s="271"/>
    </row>
    <row r="60" spans="2:13" x14ac:dyDescent="0.25">
      <c r="B60" s="74"/>
      <c r="C60" s="80"/>
      <c r="D60" s="58" t="s">
        <v>163</v>
      </c>
      <c r="E60" s="67" t="s">
        <v>80</v>
      </c>
      <c r="F60" s="16">
        <v>250000</v>
      </c>
      <c r="G60" s="133">
        <v>84</v>
      </c>
      <c r="H60" s="133">
        <v>6</v>
      </c>
      <c r="I60" s="132">
        <f t="shared" si="17"/>
        <v>1.05</v>
      </c>
      <c r="J60" s="132">
        <f t="shared" si="18"/>
        <v>0.45</v>
      </c>
      <c r="K60" s="132">
        <f t="shared" si="19"/>
        <v>0</v>
      </c>
      <c r="L60" s="132">
        <f t="shared" si="20"/>
        <v>1.5</v>
      </c>
      <c r="M60" s="271"/>
    </row>
    <row r="61" spans="2:13" x14ac:dyDescent="0.25">
      <c r="B61" s="74"/>
      <c r="C61" s="80"/>
      <c r="D61" s="58" t="s">
        <v>93</v>
      </c>
      <c r="E61" s="67" t="s">
        <v>79</v>
      </c>
      <c r="F61" s="16">
        <v>250000</v>
      </c>
      <c r="G61" s="133">
        <v>84</v>
      </c>
      <c r="H61" s="133">
        <v>6</v>
      </c>
      <c r="I61" s="132">
        <f t="shared" si="17"/>
        <v>1.05</v>
      </c>
      <c r="J61" s="132">
        <f t="shared" si="18"/>
        <v>0.45</v>
      </c>
      <c r="K61" s="132">
        <f t="shared" si="19"/>
        <v>0</v>
      </c>
      <c r="L61" s="132">
        <f t="shared" si="20"/>
        <v>1.5</v>
      </c>
      <c r="M61" s="271"/>
    </row>
    <row r="62" spans="2:13" x14ac:dyDescent="0.25">
      <c r="B62" s="74"/>
      <c r="C62" s="80"/>
      <c r="D62" s="58" t="s">
        <v>164</v>
      </c>
      <c r="E62" s="67" t="s">
        <v>89</v>
      </c>
      <c r="F62" s="16">
        <v>250000</v>
      </c>
      <c r="G62" s="133">
        <v>84</v>
      </c>
      <c r="H62" s="133">
        <v>6</v>
      </c>
      <c r="I62" s="132">
        <f t="shared" si="17"/>
        <v>1.05</v>
      </c>
      <c r="J62" s="132">
        <f t="shared" si="18"/>
        <v>0.45</v>
      </c>
      <c r="K62" s="132">
        <f t="shared" si="19"/>
        <v>0</v>
      </c>
      <c r="L62" s="132">
        <f t="shared" si="20"/>
        <v>1.5</v>
      </c>
      <c r="M62" s="271"/>
    </row>
    <row r="63" spans="2:13" x14ac:dyDescent="0.25">
      <c r="B63" s="74"/>
      <c r="C63" s="80"/>
      <c r="D63" s="58" t="s">
        <v>165</v>
      </c>
      <c r="E63" s="67" t="s">
        <v>151</v>
      </c>
      <c r="F63" s="16">
        <v>250000</v>
      </c>
      <c r="G63" s="133">
        <v>84</v>
      </c>
      <c r="H63" s="133">
        <v>6</v>
      </c>
      <c r="I63" s="132">
        <f t="shared" si="17"/>
        <v>1.05</v>
      </c>
      <c r="J63" s="132">
        <f t="shared" si="18"/>
        <v>0.45</v>
      </c>
      <c r="K63" s="132">
        <f t="shared" si="19"/>
        <v>0</v>
      </c>
      <c r="L63" s="132">
        <f t="shared" si="20"/>
        <v>1.5</v>
      </c>
      <c r="M63" s="271"/>
    </row>
    <row r="64" spans="2:13" x14ac:dyDescent="0.25">
      <c r="B64" s="74"/>
      <c r="C64" s="80"/>
      <c r="D64" s="58" t="s">
        <v>166</v>
      </c>
      <c r="E64" s="67" t="s">
        <v>152</v>
      </c>
      <c r="F64" s="16">
        <v>250000</v>
      </c>
      <c r="G64" s="133">
        <v>84</v>
      </c>
      <c r="H64" s="133">
        <v>6</v>
      </c>
      <c r="I64" s="132">
        <f t="shared" si="17"/>
        <v>1.05</v>
      </c>
      <c r="J64" s="132">
        <f t="shared" si="18"/>
        <v>0.45</v>
      </c>
      <c r="K64" s="132">
        <f t="shared" si="19"/>
        <v>0</v>
      </c>
      <c r="L64" s="132">
        <f t="shared" si="20"/>
        <v>1.5</v>
      </c>
      <c r="M64" s="271"/>
    </row>
    <row r="65" spans="2:13" x14ac:dyDescent="0.25">
      <c r="B65" s="74"/>
      <c r="C65" s="80"/>
      <c r="D65" s="58" t="s">
        <v>167</v>
      </c>
      <c r="E65" s="67" t="s">
        <v>153</v>
      </c>
      <c r="F65" s="16">
        <v>250000</v>
      </c>
      <c r="G65" s="133">
        <v>84</v>
      </c>
      <c r="H65" s="133">
        <v>6</v>
      </c>
      <c r="I65" s="132">
        <f t="shared" si="17"/>
        <v>1.05</v>
      </c>
      <c r="J65" s="132">
        <f t="shared" si="18"/>
        <v>0.45</v>
      </c>
      <c r="K65" s="132">
        <f t="shared" si="19"/>
        <v>0</v>
      </c>
      <c r="L65" s="132">
        <f t="shared" si="20"/>
        <v>1.5</v>
      </c>
      <c r="M65" s="271"/>
    </row>
    <row r="66" spans="2:13" x14ac:dyDescent="0.25">
      <c r="B66" s="74"/>
      <c r="C66" s="80"/>
      <c r="D66" s="58" t="s">
        <v>168</v>
      </c>
      <c r="E66" s="67" t="s">
        <v>154</v>
      </c>
      <c r="F66" s="16"/>
      <c r="G66" s="133"/>
      <c r="H66" s="133"/>
      <c r="I66" s="132"/>
      <c r="J66" s="132"/>
      <c r="K66" s="132"/>
      <c r="L66" s="132"/>
      <c r="M66" s="271"/>
    </row>
    <row r="67" spans="2:13" x14ac:dyDescent="0.25">
      <c r="B67" s="74"/>
      <c r="C67" s="80"/>
      <c r="D67" s="58" t="s">
        <v>169</v>
      </c>
      <c r="E67" s="67" t="s">
        <v>155</v>
      </c>
      <c r="F67" s="16">
        <v>250000</v>
      </c>
      <c r="G67" s="133">
        <v>84</v>
      </c>
      <c r="H67" s="133">
        <v>6</v>
      </c>
      <c r="I67" s="132">
        <f>((F67*H67/100)*70)/1000000</f>
        <v>1.05</v>
      </c>
      <c r="J67" s="132">
        <f>((F67*H67/100)*30)/1000000</f>
        <v>0.45</v>
      </c>
      <c r="K67" s="132">
        <f>((F67*H67/100)*0)/1000000</f>
        <v>0</v>
      </c>
      <c r="L67" s="132">
        <f t="shared" si="20"/>
        <v>1.5</v>
      </c>
      <c r="M67" s="271"/>
    </row>
    <row r="68" spans="2:13" x14ac:dyDescent="0.25">
      <c r="B68" s="74"/>
      <c r="C68" s="80"/>
      <c r="D68" s="58" t="s">
        <v>170</v>
      </c>
      <c r="E68" s="67" t="s">
        <v>49</v>
      </c>
      <c r="F68" s="156">
        <v>150000</v>
      </c>
      <c r="G68" s="157">
        <v>84</v>
      </c>
      <c r="H68" s="133">
        <v>6</v>
      </c>
      <c r="I68" s="132">
        <f>((F68*H68/100)*70)/1000000</f>
        <v>0.63</v>
      </c>
      <c r="J68" s="132">
        <f>((F68*H68/100)*30)/1000000</f>
        <v>0.27</v>
      </c>
      <c r="K68" s="132">
        <f>((F68*H68/100)*0)/1000000</f>
        <v>0</v>
      </c>
      <c r="L68" s="132">
        <f t="shared" si="20"/>
        <v>0.9</v>
      </c>
      <c r="M68" s="271"/>
    </row>
    <row r="69" spans="2:13" x14ac:dyDescent="0.25">
      <c r="B69" s="74"/>
      <c r="C69" s="80"/>
      <c r="D69" s="58" t="s">
        <v>171</v>
      </c>
      <c r="E69" s="67" t="s">
        <v>88</v>
      </c>
      <c r="F69" s="156">
        <v>150000</v>
      </c>
      <c r="G69" s="157">
        <v>84</v>
      </c>
      <c r="H69" s="133">
        <v>6</v>
      </c>
      <c r="I69" s="132">
        <f>((F69*H69/100)*70)/1000000</f>
        <v>0.63</v>
      </c>
      <c r="J69" s="132">
        <f>((F69*H69/100)*30)/1000000</f>
        <v>0.27</v>
      </c>
      <c r="K69" s="132">
        <f>((F69*H69/100)*0)/1000000</f>
        <v>0</v>
      </c>
      <c r="L69" s="132">
        <f t="shared" si="20"/>
        <v>0.9</v>
      </c>
      <c r="M69" s="271"/>
    </row>
    <row r="70" spans="2:13" x14ac:dyDescent="0.25">
      <c r="B70" s="74"/>
      <c r="C70" s="80"/>
      <c r="D70" s="58" t="s">
        <v>172</v>
      </c>
      <c r="E70" s="67" t="s">
        <v>50</v>
      </c>
      <c r="F70" s="156">
        <v>150000</v>
      </c>
      <c r="G70" s="157">
        <v>84</v>
      </c>
      <c r="H70" s="133">
        <v>6</v>
      </c>
      <c r="I70" s="132">
        <f>((F70*H70/100)*70)/1000000</f>
        <v>0.63</v>
      </c>
      <c r="J70" s="132">
        <f>((F70*H70/100)*30)/1000000</f>
        <v>0.27</v>
      </c>
      <c r="K70" s="132">
        <f>((F70*H70/100)*0)/1000000</f>
        <v>0</v>
      </c>
      <c r="L70" s="132">
        <f t="shared" si="20"/>
        <v>0.9</v>
      </c>
      <c r="M70" s="271"/>
    </row>
    <row r="71" spans="2:13" x14ac:dyDescent="0.25">
      <c r="B71" s="74"/>
      <c r="C71" s="80"/>
      <c r="D71" s="58" t="s">
        <v>173</v>
      </c>
      <c r="E71" s="67" t="s">
        <v>51</v>
      </c>
      <c r="F71" s="156">
        <v>150000</v>
      </c>
      <c r="G71" s="157">
        <v>84</v>
      </c>
      <c r="H71" s="133">
        <v>6</v>
      </c>
      <c r="I71" s="132">
        <f>((F71*H71/100)*70)/1000000</f>
        <v>0.63</v>
      </c>
      <c r="J71" s="132">
        <f>((F71*H71/100)*30)/1000000</f>
        <v>0.27</v>
      </c>
      <c r="K71" s="132">
        <f>((F71*H71/100)*0)/1000000</f>
        <v>0</v>
      </c>
      <c r="L71" s="132">
        <f t="shared" si="20"/>
        <v>0.9</v>
      </c>
      <c r="M71" s="271"/>
    </row>
    <row r="72" spans="2:13" x14ac:dyDescent="0.25">
      <c r="B72" s="74"/>
      <c r="C72" s="80"/>
      <c r="D72" s="83" t="s">
        <v>174</v>
      </c>
      <c r="E72" s="62" t="s">
        <v>98</v>
      </c>
      <c r="F72" s="98"/>
      <c r="G72" s="148"/>
      <c r="H72" s="148"/>
      <c r="I72" s="149"/>
      <c r="J72" s="132"/>
      <c r="K72" s="149"/>
      <c r="L72" s="149"/>
      <c r="M72" s="64"/>
    </row>
    <row r="73" spans="2:13" ht="16.95" customHeight="1" x14ac:dyDescent="0.25">
      <c r="B73" s="74"/>
      <c r="C73" s="80"/>
      <c r="D73" s="80"/>
      <c r="E73" s="67" t="s">
        <v>81</v>
      </c>
      <c r="F73" s="156">
        <v>70000</v>
      </c>
      <c r="G73" s="157">
        <v>84</v>
      </c>
      <c r="H73" s="133">
        <v>6</v>
      </c>
      <c r="I73" s="132">
        <f t="shared" ref="I73:I78" si="22">((F73*H73/100)*70)/1000000</f>
        <v>0.29399999999999998</v>
      </c>
      <c r="J73" s="132">
        <f t="shared" ref="J73:J78" si="23">((F73*H73/100)*30)/1000000</f>
        <v>0.126</v>
      </c>
      <c r="K73" s="132">
        <f t="shared" ref="K73:K83" si="24">((F73*H73/100)*0)/1000000</f>
        <v>0</v>
      </c>
      <c r="L73" s="132">
        <f t="shared" si="20"/>
        <v>0.42</v>
      </c>
      <c r="M73" s="262" t="s">
        <v>97</v>
      </c>
    </row>
    <row r="74" spans="2:13" x14ac:dyDescent="0.25">
      <c r="B74" s="74"/>
      <c r="C74" s="80"/>
      <c r="D74" s="80"/>
      <c r="E74" s="67" t="s">
        <v>175</v>
      </c>
      <c r="F74" s="156">
        <v>70000</v>
      </c>
      <c r="G74" s="157">
        <v>84</v>
      </c>
      <c r="H74" s="133">
        <v>6</v>
      </c>
      <c r="I74" s="132">
        <f t="shared" si="22"/>
        <v>0.29399999999999998</v>
      </c>
      <c r="J74" s="132">
        <f t="shared" si="23"/>
        <v>0.126</v>
      </c>
      <c r="K74" s="132">
        <f t="shared" si="24"/>
        <v>0</v>
      </c>
      <c r="L74" s="132">
        <f t="shared" si="20"/>
        <v>0.42</v>
      </c>
      <c r="M74" s="263"/>
    </row>
    <row r="75" spans="2:13" x14ac:dyDescent="0.25">
      <c r="B75" s="74"/>
      <c r="C75" s="80"/>
      <c r="D75" s="80"/>
      <c r="E75" s="67" t="s">
        <v>82</v>
      </c>
      <c r="F75" s="156">
        <v>75000</v>
      </c>
      <c r="G75" s="157">
        <v>84</v>
      </c>
      <c r="H75" s="133">
        <v>6</v>
      </c>
      <c r="I75" s="132">
        <f t="shared" si="22"/>
        <v>0.315</v>
      </c>
      <c r="J75" s="132">
        <f t="shared" si="23"/>
        <v>0.13500000000000001</v>
      </c>
      <c r="K75" s="132">
        <f t="shared" si="24"/>
        <v>0</v>
      </c>
      <c r="L75" s="132">
        <f t="shared" ref="L75" si="25">SUM(I75:K75)</f>
        <v>0.45</v>
      </c>
      <c r="M75" s="263"/>
    </row>
    <row r="76" spans="2:13" x14ac:dyDescent="0.25">
      <c r="B76" s="74"/>
      <c r="C76" s="80"/>
      <c r="D76" s="80"/>
      <c r="E76" s="67" t="s">
        <v>83</v>
      </c>
      <c r="F76" s="156">
        <v>75000</v>
      </c>
      <c r="G76" s="157">
        <v>84</v>
      </c>
      <c r="H76" s="133">
        <v>6</v>
      </c>
      <c r="I76" s="132">
        <f t="shared" si="22"/>
        <v>0.315</v>
      </c>
      <c r="J76" s="132">
        <f t="shared" si="23"/>
        <v>0.13500000000000001</v>
      </c>
      <c r="K76" s="132">
        <f t="shared" si="24"/>
        <v>0</v>
      </c>
      <c r="L76" s="132">
        <f t="shared" si="20"/>
        <v>0.45</v>
      </c>
      <c r="M76" s="263"/>
    </row>
    <row r="77" spans="2:13" x14ac:dyDescent="0.25">
      <c r="B77" s="74"/>
      <c r="C77" s="80"/>
      <c r="D77" s="80"/>
      <c r="E77" s="67" t="s">
        <v>53</v>
      </c>
      <c r="F77" s="156">
        <v>70000</v>
      </c>
      <c r="G77" s="157">
        <v>168</v>
      </c>
      <c r="H77" s="133">
        <v>6</v>
      </c>
      <c r="I77" s="132">
        <f t="shared" si="22"/>
        <v>0.29399999999999998</v>
      </c>
      <c r="J77" s="132">
        <f t="shared" si="23"/>
        <v>0.126</v>
      </c>
      <c r="K77" s="132">
        <f t="shared" si="24"/>
        <v>0</v>
      </c>
      <c r="L77" s="132">
        <f t="shared" si="20"/>
        <v>0.42</v>
      </c>
      <c r="M77" s="263"/>
    </row>
    <row r="78" spans="2:13" x14ac:dyDescent="0.25">
      <c r="B78" s="74"/>
      <c r="C78" s="80"/>
      <c r="D78" s="80"/>
      <c r="E78" s="67" t="s">
        <v>84</v>
      </c>
      <c r="F78" s="156">
        <v>70000</v>
      </c>
      <c r="G78" s="157">
        <v>168</v>
      </c>
      <c r="H78" s="133">
        <v>6</v>
      </c>
      <c r="I78" s="132">
        <f t="shared" si="22"/>
        <v>0.29399999999999998</v>
      </c>
      <c r="J78" s="132">
        <f t="shared" si="23"/>
        <v>0.126</v>
      </c>
      <c r="K78" s="132">
        <f t="shared" si="24"/>
        <v>0</v>
      </c>
      <c r="L78" s="132">
        <f t="shared" si="20"/>
        <v>0.42</v>
      </c>
      <c r="M78" s="263"/>
    </row>
    <row r="79" spans="2:13" ht="12.75" customHeight="1" x14ac:dyDescent="0.25">
      <c r="B79" s="74"/>
      <c r="C79" s="80"/>
      <c r="D79" s="80"/>
      <c r="E79" s="67" t="s">
        <v>30</v>
      </c>
      <c r="F79" s="156">
        <v>35000</v>
      </c>
      <c r="G79" s="157">
        <v>672</v>
      </c>
      <c r="H79" s="133">
        <v>6</v>
      </c>
      <c r="I79" s="132">
        <f>((F79*H79)/1000000)</f>
        <v>0.21</v>
      </c>
      <c r="J79" s="132"/>
      <c r="K79" s="132">
        <f t="shared" si="24"/>
        <v>0</v>
      </c>
      <c r="L79" s="132">
        <f t="shared" si="20"/>
        <v>0.21</v>
      </c>
      <c r="M79" s="263" t="s">
        <v>202</v>
      </c>
    </row>
    <row r="80" spans="2:13" x14ac:dyDescent="0.25">
      <c r="B80" s="74"/>
      <c r="C80" s="80"/>
      <c r="D80" s="80"/>
      <c r="E80" s="67" t="s">
        <v>31</v>
      </c>
      <c r="F80" s="156">
        <v>30000</v>
      </c>
      <c r="G80" s="157">
        <v>336</v>
      </c>
      <c r="H80" s="133">
        <v>6</v>
      </c>
      <c r="I80" s="132">
        <f>((F80*H80)/1000000)</f>
        <v>0.18</v>
      </c>
      <c r="J80" s="132"/>
      <c r="K80" s="132">
        <f t="shared" si="24"/>
        <v>0</v>
      </c>
      <c r="L80" s="132">
        <f t="shared" si="20"/>
        <v>0.18</v>
      </c>
      <c r="M80" s="263"/>
    </row>
    <row r="81" spans="2:13" x14ac:dyDescent="0.25">
      <c r="B81" s="74"/>
      <c r="C81" s="80"/>
      <c r="D81" s="80"/>
      <c r="E81" s="67" t="s">
        <v>32</v>
      </c>
      <c r="F81" s="156">
        <v>30000</v>
      </c>
      <c r="G81" s="157">
        <v>336</v>
      </c>
      <c r="H81" s="133">
        <v>6</v>
      </c>
      <c r="I81" s="132">
        <f>((F81*H81)/1000000)</f>
        <v>0.18</v>
      </c>
      <c r="J81" s="132"/>
      <c r="K81" s="132">
        <f t="shared" si="24"/>
        <v>0</v>
      </c>
      <c r="L81" s="132">
        <f t="shared" si="20"/>
        <v>0.18</v>
      </c>
      <c r="M81" s="263"/>
    </row>
    <row r="82" spans="2:13" x14ac:dyDescent="0.25">
      <c r="B82" s="74"/>
      <c r="C82" s="80"/>
      <c r="D82" s="80"/>
      <c r="E82" s="67" t="s">
        <v>33</v>
      </c>
      <c r="F82" s="156">
        <v>30000</v>
      </c>
      <c r="G82" s="157">
        <v>168</v>
      </c>
      <c r="H82" s="133">
        <v>6</v>
      </c>
      <c r="I82" s="132">
        <f>((F82*H82)/1000000)</f>
        <v>0.18</v>
      </c>
      <c r="J82" s="132"/>
      <c r="K82" s="132">
        <f t="shared" si="24"/>
        <v>0</v>
      </c>
      <c r="L82" s="132">
        <f t="shared" si="20"/>
        <v>0.18</v>
      </c>
      <c r="M82" s="263"/>
    </row>
    <row r="83" spans="2:13" x14ac:dyDescent="0.25">
      <c r="B83" s="74"/>
      <c r="C83" s="80"/>
      <c r="D83" s="82"/>
      <c r="E83" s="67" t="s">
        <v>34</v>
      </c>
      <c r="F83" s="156">
        <v>25000</v>
      </c>
      <c r="G83" s="157">
        <v>168</v>
      </c>
      <c r="H83" s="133">
        <v>6</v>
      </c>
      <c r="I83" s="132">
        <f>((F83*H83)/1000000)</f>
        <v>0.15</v>
      </c>
      <c r="J83" s="132"/>
      <c r="K83" s="132">
        <f t="shared" si="24"/>
        <v>0</v>
      </c>
      <c r="L83" s="132">
        <f t="shared" si="20"/>
        <v>0.15</v>
      </c>
      <c r="M83" s="264"/>
    </row>
    <row r="84" spans="2:13" x14ac:dyDescent="0.25">
      <c r="B84" s="74"/>
      <c r="C84" s="89"/>
      <c r="D84" s="159" t="s">
        <v>126</v>
      </c>
      <c r="E84" s="159"/>
      <c r="F84" s="136"/>
      <c r="G84" s="147"/>
      <c r="H84" s="147"/>
      <c r="I84" s="122">
        <f t="shared" ref="I84:L84" si="26">SUM(I53:I83)</f>
        <v>25.386000000000003</v>
      </c>
      <c r="J84" s="122">
        <f t="shared" si="26"/>
        <v>10.493999999999996</v>
      </c>
      <c r="K84" s="122">
        <f t="shared" si="26"/>
        <v>0</v>
      </c>
      <c r="L84" s="122">
        <f t="shared" si="26"/>
        <v>35.88000000000001</v>
      </c>
      <c r="M84" s="131"/>
    </row>
    <row r="85" spans="2:13" x14ac:dyDescent="0.25">
      <c r="B85" s="75"/>
      <c r="C85" s="81"/>
      <c r="D85" s="83">
        <v>2</v>
      </c>
      <c r="E85" s="65" t="s">
        <v>99</v>
      </c>
      <c r="F85" s="98"/>
      <c r="G85" s="148"/>
      <c r="H85" s="148"/>
      <c r="I85" s="149"/>
      <c r="J85" s="149"/>
      <c r="K85" s="149"/>
      <c r="L85" s="149"/>
      <c r="M85" s="28"/>
    </row>
    <row r="86" spans="2:13" ht="26.4" x14ac:dyDescent="0.25">
      <c r="B86" s="74"/>
      <c r="C86" s="80"/>
      <c r="D86" s="80"/>
      <c r="E86" s="67" t="s">
        <v>35</v>
      </c>
      <c r="F86" s="156">
        <v>450000</v>
      </c>
      <c r="G86" s="157">
        <v>84</v>
      </c>
      <c r="H86" s="133">
        <v>8</v>
      </c>
      <c r="I86" s="132">
        <f>((F86*H86/100)*70)/1000000</f>
        <v>2.52</v>
      </c>
      <c r="J86" s="132">
        <f>((F86*H86/100)*30)/1000000</f>
        <v>1.08</v>
      </c>
      <c r="K86" s="132">
        <f t="shared" ref="K86:K93" si="27">((F86*H86/100)*0)/1000000</f>
        <v>0</v>
      </c>
      <c r="L86" s="132">
        <f t="shared" si="20"/>
        <v>3.6</v>
      </c>
      <c r="M86" s="161" t="s">
        <v>203</v>
      </c>
    </row>
    <row r="87" spans="2:13" x14ac:dyDescent="0.25">
      <c r="B87" s="74"/>
      <c r="C87" s="80"/>
      <c r="D87" s="80"/>
      <c r="E87" s="67" t="s">
        <v>36</v>
      </c>
      <c r="F87" s="156">
        <v>80000</v>
      </c>
      <c r="G87" s="157">
        <v>84</v>
      </c>
      <c r="H87" s="133">
        <v>8</v>
      </c>
      <c r="I87" s="132">
        <f>((F87*H87/100)*100)/1000000</f>
        <v>0.64</v>
      </c>
      <c r="J87" s="132"/>
      <c r="K87" s="132">
        <f t="shared" si="27"/>
        <v>0</v>
      </c>
      <c r="L87" s="132">
        <f t="shared" si="20"/>
        <v>0.64</v>
      </c>
      <c r="M87" s="161"/>
    </row>
    <row r="88" spans="2:13" ht="26.4" x14ac:dyDescent="0.25">
      <c r="B88" s="74"/>
      <c r="C88" s="80"/>
      <c r="D88" s="80"/>
      <c r="E88" s="67" t="s">
        <v>37</v>
      </c>
      <c r="F88" s="156">
        <v>50000</v>
      </c>
      <c r="G88" s="157">
        <v>84</v>
      </c>
      <c r="H88" s="133">
        <v>12</v>
      </c>
      <c r="I88" s="132">
        <f>((F88*H88/100)*77)/1000000</f>
        <v>0.46200000000000002</v>
      </c>
      <c r="J88" s="132">
        <f>((F88*H88/100)*23)/1000000</f>
        <v>0.13800000000000001</v>
      </c>
      <c r="K88" s="132">
        <f t="shared" si="27"/>
        <v>0</v>
      </c>
      <c r="L88" s="132">
        <f t="shared" si="20"/>
        <v>0.60000000000000009</v>
      </c>
      <c r="M88" s="161" t="s">
        <v>204</v>
      </c>
    </row>
    <row r="89" spans="2:13" x14ac:dyDescent="0.25">
      <c r="B89" s="74"/>
      <c r="C89" s="80"/>
      <c r="D89" s="80"/>
      <c r="E89" s="67" t="s">
        <v>38</v>
      </c>
      <c r="F89" s="156">
        <v>50000</v>
      </c>
      <c r="G89" s="157">
        <v>672</v>
      </c>
      <c r="H89" s="133">
        <v>48</v>
      </c>
      <c r="I89" s="132">
        <f>((F89*H89/100)*100)/1000000</f>
        <v>2.4</v>
      </c>
      <c r="J89" s="132"/>
      <c r="K89" s="132">
        <f t="shared" si="27"/>
        <v>0</v>
      </c>
      <c r="L89" s="132">
        <f t="shared" si="20"/>
        <v>2.4</v>
      </c>
      <c r="M89" s="161"/>
    </row>
    <row r="90" spans="2:13" x14ac:dyDescent="0.25">
      <c r="B90" s="74"/>
      <c r="C90" s="80"/>
      <c r="D90" s="80"/>
      <c r="E90" s="67" t="s">
        <v>39</v>
      </c>
      <c r="F90" s="156">
        <v>30000</v>
      </c>
      <c r="G90" s="157">
        <v>672</v>
      </c>
      <c r="H90" s="133">
        <v>48</v>
      </c>
      <c r="I90" s="132">
        <f>((F90*H90/100)*77)/1000000</f>
        <v>1.1088</v>
      </c>
      <c r="J90" s="132">
        <f>((F90*H90/100)*23)/1000000</f>
        <v>0.33119999999999999</v>
      </c>
      <c r="K90" s="132">
        <f t="shared" si="27"/>
        <v>0</v>
      </c>
      <c r="L90" s="132">
        <f t="shared" si="20"/>
        <v>1.44</v>
      </c>
      <c r="M90" s="265" t="s">
        <v>204</v>
      </c>
    </row>
    <row r="91" spans="2:13" x14ac:dyDescent="0.25">
      <c r="B91" s="74"/>
      <c r="C91" s="80"/>
      <c r="D91" s="80"/>
      <c r="E91" s="67" t="s">
        <v>40</v>
      </c>
      <c r="F91" s="156">
        <v>50000</v>
      </c>
      <c r="G91" s="157">
        <v>84</v>
      </c>
      <c r="H91" s="133">
        <v>9</v>
      </c>
      <c r="I91" s="132">
        <f>((F91*H91/100)*77)/1000000</f>
        <v>0.34649999999999997</v>
      </c>
      <c r="J91" s="132">
        <f>((F91*H91/100)*23)/1000000</f>
        <v>0.10349999999999999</v>
      </c>
      <c r="K91" s="132">
        <f t="shared" si="27"/>
        <v>0</v>
      </c>
      <c r="L91" s="132">
        <f t="shared" si="20"/>
        <v>0.44999999999999996</v>
      </c>
      <c r="M91" s="266"/>
    </row>
    <row r="92" spans="2:13" x14ac:dyDescent="0.25">
      <c r="B92" s="74"/>
      <c r="C92" s="80"/>
      <c r="D92" s="80"/>
      <c r="E92" s="67" t="s">
        <v>176</v>
      </c>
      <c r="F92" s="156">
        <v>70000</v>
      </c>
      <c r="G92" s="157">
        <v>84</v>
      </c>
      <c r="H92" s="133">
        <v>10</v>
      </c>
      <c r="I92" s="132">
        <f>((F92*H92/100)*77)/1000000</f>
        <v>0.53900000000000003</v>
      </c>
      <c r="J92" s="132">
        <f>((F92*H92/100)*23)/1000000</f>
        <v>0.161</v>
      </c>
      <c r="K92" s="132">
        <f t="shared" si="27"/>
        <v>0</v>
      </c>
      <c r="L92" s="132">
        <f t="shared" si="20"/>
        <v>0.70000000000000007</v>
      </c>
      <c r="M92" s="266"/>
    </row>
    <row r="93" spans="2:13" x14ac:dyDescent="0.25">
      <c r="B93" s="74"/>
      <c r="C93" s="80"/>
      <c r="D93" s="82"/>
      <c r="E93" s="67" t="s">
        <v>42</v>
      </c>
      <c r="F93" s="156">
        <v>30000</v>
      </c>
      <c r="G93" s="157">
        <v>84</v>
      </c>
      <c r="H93" s="133">
        <v>30</v>
      </c>
      <c r="I93" s="132">
        <f>((F93*H93/100)*77)/1000000</f>
        <v>0.69299999999999995</v>
      </c>
      <c r="J93" s="132">
        <f>((F93*H93/100)*23)/1000000</f>
        <v>0.20699999999999999</v>
      </c>
      <c r="K93" s="132">
        <f t="shared" si="27"/>
        <v>0</v>
      </c>
      <c r="L93" s="132">
        <f t="shared" si="20"/>
        <v>0.89999999999999991</v>
      </c>
      <c r="M93" s="267"/>
    </row>
    <row r="94" spans="2:13" x14ac:dyDescent="0.25">
      <c r="B94" s="74"/>
      <c r="C94" s="80"/>
      <c r="D94" s="159" t="s">
        <v>126</v>
      </c>
      <c r="E94" s="135"/>
      <c r="F94" s="136"/>
      <c r="G94" s="147"/>
      <c r="H94" s="147"/>
      <c r="I94" s="122">
        <f t="shared" ref="I94:L94" si="28">SUM(I86:I93)</f>
        <v>8.7093000000000007</v>
      </c>
      <c r="J94" s="122">
        <f t="shared" si="28"/>
        <v>2.0206999999999997</v>
      </c>
      <c r="K94" s="122">
        <f t="shared" si="28"/>
        <v>0</v>
      </c>
      <c r="L94" s="122">
        <f t="shared" si="28"/>
        <v>10.729999999999999</v>
      </c>
      <c r="M94" s="162"/>
    </row>
    <row r="95" spans="2:13" x14ac:dyDescent="0.25">
      <c r="B95" s="74"/>
      <c r="C95" s="80"/>
      <c r="D95" s="83">
        <v>3</v>
      </c>
      <c r="E95" s="65" t="s">
        <v>177</v>
      </c>
      <c r="F95" s="156"/>
      <c r="G95" s="157"/>
      <c r="H95" s="133"/>
      <c r="I95" s="132"/>
      <c r="J95" s="132"/>
      <c r="K95" s="132"/>
      <c r="L95" s="132"/>
      <c r="M95" s="160"/>
    </row>
    <row r="96" spans="2:13" x14ac:dyDescent="0.25">
      <c r="B96" s="74"/>
      <c r="C96" s="80"/>
      <c r="D96" s="80"/>
      <c r="E96" s="67" t="s">
        <v>178</v>
      </c>
      <c r="F96" s="156">
        <v>1095000</v>
      </c>
      <c r="G96" s="157">
        <v>84</v>
      </c>
      <c r="H96" s="133">
        <v>6</v>
      </c>
      <c r="I96" s="132">
        <f>((F96*H96/100)*77)/1000000</f>
        <v>5.0589000000000004</v>
      </c>
      <c r="J96" s="132">
        <f>((F96*H96/100)*23)/1000000</f>
        <v>1.5111000000000001</v>
      </c>
      <c r="K96" s="132">
        <f>((F96*H96/100)*0)/1000000</f>
        <v>0</v>
      </c>
      <c r="L96" s="132">
        <f t="shared" si="20"/>
        <v>6.57</v>
      </c>
      <c r="M96" s="268" t="s">
        <v>204</v>
      </c>
    </row>
    <row r="97" spans="2:13" x14ac:dyDescent="0.25">
      <c r="B97" s="74"/>
      <c r="C97" s="80"/>
      <c r="D97" s="80"/>
      <c r="E97" s="67" t="s">
        <v>43</v>
      </c>
      <c r="F97" s="156">
        <v>814050</v>
      </c>
      <c r="G97" s="157">
        <v>84</v>
      </c>
      <c r="H97" s="133">
        <v>9</v>
      </c>
      <c r="I97" s="132">
        <f>((F97*H97/100)*77)/1000000</f>
        <v>5.6413665000000002</v>
      </c>
      <c r="J97" s="132">
        <f>((F97*H97/100)*23)/1000000</f>
        <v>1.6850835</v>
      </c>
      <c r="K97" s="132">
        <f>((F97*H97/100)*0)/1000000</f>
        <v>0</v>
      </c>
      <c r="L97" s="132">
        <f t="shared" si="20"/>
        <v>7.3264500000000004</v>
      </c>
      <c r="M97" s="269"/>
    </row>
    <row r="98" spans="2:13" x14ac:dyDescent="0.25">
      <c r="B98" s="74"/>
      <c r="C98" s="80"/>
      <c r="D98" s="82"/>
      <c r="E98" s="67" t="s">
        <v>44</v>
      </c>
      <c r="F98" s="156">
        <v>23000</v>
      </c>
      <c r="G98" s="157">
        <v>245</v>
      </c>
      <c r="H98" s="133">
        <v>10</v>
      </c>
      <c r="I98" s="132">
        <f>((F98*H98/100)*77)/1000000</f>
        <v>0.17710000000000001</v>
      </c>
      <c r="J98" s="132">
        <f>((F98*H98/100)*23)/1000000</f>
        <v>5.2900000000000003E-2</v>
      </c>
      <c r="K98" s="132">
        <f>((F98*H98/100)*0)/1000000</f>
        <v>0</v>
      </c>
      <c r="L98" s="132">
        <f t="shared" si="20"/>
        <v>0.23</v>
      </c>
      <c r="M98" s="270"/>
    </row>
    <row r="99" spans="2:13" x14ac:dyDescent="0.25">
      <c r="B99" s="74"/>
      <c r="C99" s="82"/>
      <c r="D99" s="159" t="s">
        <v>126</v>
      </c>
      <c r="E99" s="135"/>
      <c r="F99" s="136"/>
      <c r="G99" s="147"/>
      <c r="H99" s="147"/>
      <c r="I99" s="122">
        <f t="shared" ref="I99:L99" si="29">SUM(I96:I98)</f>
        <v>10.877366500000001</v>
      </c>
      <c r="J99" s="122">
        <f t="shared" si="29"/>
        <v>3.2490835000000002</v>
      </c>
      <c r="K99" s="122">
        <f t="shared" si="29"/>
        <v>0</v>
      </c>
      <c r="L99" s="122">
        <f t="shared" si="29"/>
        <v>14.126450000000002</v>
      </c>
      <c r="M99" s="131"/>
    </row>
    <row r="100" spans="2:13" x14ac:dyDescent="0.25">
      <c r="B100" s="74"/>
      <c r="C100" s="159" t="s">
        <v>198</v>
      </c>
      <c r="D100" s="126"/>
      <c r="E100" s="135"/>
      <c r="F100" s="136"/>
      <c r="G100" s="147"/>
      <c r="H100" s="147"/>
      <c r="I100" s="122">
        <f t="shared" ref="I100:L100" si="30">SUM(I84,I94,I99)</f>
        <v>44.972666500000003</v>
      </c>
      <c r="J100" s="122">
        <f t="shared" si="30"/>
        <v>15.763783499999995</v>
      </c>
      <c r="K100" s="122">
        <f t="shared" si="30"/>
        <v>0</v>
      </c>
      <c r="L100" s="122">
        <f t="shared" si="30"/>
        <v>60.736450000000005</v>
      </c>
      <c r="M100" s="131"/>
    </row>
    <row r="101" spans="2:13" x14ac:dyDescent="0.25">
      <c r="B101" s="75"/>
      <c r="C101" s="83" t="s">
        <v>4</v>
      </c>
      <c r="D101" s="65" t="s">
        <v>19</v>
      </c>
      <c r="E101" s="65"/>
      <c r="F101" s="98"/>
      <c r="G101" s="148"/>
      <c r="H101" s="148"/>
      <c r="I101" s="149"/>
      <c r="J101" s="149"/>
      <c r="K101" s="149"/>
      <c r="L101" s="149"/>
      <c r="M101" s="64"/>
    </row>
    <row r="102" spans="2:13" x14ac:dyDescent="0.25">
      <c r="B102" s="75"/>
      <c r="C102" s="81"/>
      <c r="D102" s="77">
        <v>1</v>
      </c>
      <c r="E102" s="61" t="s">
        <v>179</v>
      </c>
      <c r="F102" s="98"/>
      <c r="G102" s="148"/>
      <c r="H102" s="148"/>
      <c r="I102" s="149"/>
      <c r="J102" s="149"/>
      <c r="K102" s="149"/>
      <c r="L102" s="149"/>
      <c r="M102" s="64"/>
    </row>
    <row r="103" spans="2:13" ht="16.95" customHeight="1" x14ac:dyDescent="0.25">
      <c r="B103" s="74"/>
      <c r="C103" s="80"/>
      <c r="D103" s="58" t="s">
        <v>156</v>
      </c>
      <c r="E103" s="67" t="s">
        <v>54</v>
      </c>
      <c r="F103" s="156">
        <v>300000</v>
      </c>
      <c r="G103" s="157">
        <v>420</v>
      </c>
      <c r="H103" s="133">
        <v>30</v>
      </c>
      <c r="I103" s="132">
        <f>((F103*H103/100)*70)/1000000</f>
        <v>6.3</v>
      </c>
      <c r="J103" s="132">
        <f>((F103*H103/100)*30)/1000000</f>
        <v>2.7</v>
      </c>
      <c r="K103" s="132">
        <f>((F103*H103/100)*0)/1000000</f>
        <v>0</v>
      </c>
      <c r="L103" s="132">
        <f t="shared" si="20"/>
        <v>9</v>
      </c>
      <c r="M103" s="271" t="s">
        <v>97</v>
      </c>
    </row>
    <row r="104" spans="2:13" ht="26.4" x14ac:dyDescent="0.25">
      <c r="B104" s="74"/>
      <c r="C104" s="80"/>
      <c r="D104" s="58" t="s">
        <v>157</v>
      </c>
      <c r="E104" s="67" t="s">
        <v>70</v>
      </c>
      <c r="F104" s="156">
        <v>150000</v>
      </c>
      <c r="G104" s="157">
        <v>672</v>
      </c>
      <c r="H104" s="158">
        <f>8*6</f>
        <v>48</v>
      </c>
      <c r="I104" s="132">
        <f>((F104*H104/100)*70)/1000000</f>
        <v>5.04</v>
      </c>
      <c r="J104" s="132">
        <f>((F104*H104/100)*30)/1000000</f>
        <v>2.16</v>
      </c>
      <c r="K104" s="132">
        <f>((F104*H104/100)*0)/1000000</f>
        <v>0</v>
      </c>
      <c r="L104" s="132">
        <f t="shared" si="20"/>
        <v>7.2</v>
      </c>
      <c r="M104" s="271"/>
    </row>
    <row r="105" spans="2:13" x14ac:dyDescent="0.25">
      <c r="B105" s="74"/>
      <c r="C105" s="80"/>
      <c r="D105" s="58" t="s">
        <v>158</v>
      </c>
      <c r="E105" s="67" t="s">
        <v>55</v>
      </c>
      <c r="F105" s="156">
        <v>150000</v>
      </c>
      <c r="G105" s="157">
        <v>420</v>
      </c>
      <c r="H105" s="158">
        <f>5*6</f>
        <v>30</v>
      </c>
      <c r="I105" s="132">
        <f>((F105*H105/100)*70)/1000000</f>
        <v>3.15</v>
      </c>
      <c r="J105" s="132">
        <f>((F105*H105/100)*30)/1000000</f>
        <v>1.35</v>
      </c>
      <c r="K105" s="132">
        <f>((F105*H105/100)*0)/1000000</f>
        <v>0</v>
      </c>
      <c r="L105" s="132">
        <f t="shared" si="20"/>
        <v>4.5</v>
      </c>
      <c r="M105" s="271"/>
    </row>
    <row r="106" spans="2:13" x14ac:dyDescent="0.25">
      <c r="B106" s="75"/>
      <c r="C106" s="81"/>
      <c r="D106" s="59" t="s">
        <v>159</v>
      </c>
      <c r="E106" s="62" t="s">
        <v>180</v>
      </c>
      <c r="F106" s="98"/>
      <c r="G106" s="148"/>
      <c r="H106" s="148"/>
      <c r="I106" s="149"/>
      <c r="J106" s="149"/>
      <c r="K106" s="149"/>
      <c r="L106" s="149"/>
      <c r="M106" s="28"/>
    </row>
    <row r="107" spans="2:13" ht="26.4" x14ac:dyDescent="0.25">
      <c r="B107" s="74"/>
      <c r="C107" s="80"/>
      <c r="D107" s="58"/>
      <c r="E107" s="155" t="s">
        <v>56</v>
      </c>
      <c r="F107" s="156">
        <v>70000</v>
      </c>
      <c r="G107" s="157">
        <v>420</v>
      </c>
      <c r="H107" s="158">
        <f>5*6</f>
        <v>30</v>
      </c>
      <c r="I107" s="132">
        <f>((F107*H107/100)*70)/1000000</f>
        <v>1.47</v>
      </c>
      <c r="J107" s="132">
        <f>((F107*H107/100)*30)/1000000</f>
        <v>0.63</v>
      </c>
      <c r="K107" s="132">
        <f>((F107*H107/100)*0)/1000000</f>
        <v>0</v>
      </c>
      <c r="L107" s="132">
        <f t="shared" si="20"/>
        <v>2.1</v>
      </c>
      <c r="M107" s="28" t="s">
        <v>97</v>
      </c>
    </row>
    <row r="108" spans="2:13" x14ac:dyDescent="0.25">
      <c r="B108" s="74"/>
      <c r="C108" s="80"/>
      <c r="D108" s="58"/>
      <c r="E108" s="67" t="s">
        <v>45</v>
      </c>
      <c r="F108" s="156">
        <v>35000</v>
      </c>
      <c r="G108" s="157">
        <v>1680</v>
      </c>
      <c r="H108" s="158">
        <f>20*6</f>
        <v>120</v>
      </c>
      <c r="I108" s="132">
        <f>((F108*H108/100)*100)/1000000</f>
        <v>4.2</v>
      </c>
      <c r="J108" s="132"/>
      <c r="K108" s="132">
        <f>((F108*H108/100)*0)/1000000</f>
        <v>0</v>
      </c>
      <c r="L108" s="132">
        <f t="shared" si="20"/>
        <v>4.2</v>
      </c>
      <c r="M108" s="28"/>
    </row>
    <row r="109" spans="2:13" x14ac:dyDescent="0.25">
      <c r="B109" s="74"/>
      <c r="C109" s="80"/>
      <c r="D109" s="58"/>
      <c r="E109" s="67" t="s">
        <v>85</v>
      </c>
      <c r="F109" s="156">
        <v>30000</v>
      </c>
      <c r="G109" s="157">
        <v>840</v>
      </c>
      <c r="H109" s="158">
        <f>10*6</f>
        <v>60</v>
      </c>
      <c r="I109" s="132">
        <f>((F109*H109/100)*100)/1000000</f>
        <v>1.8</v>
      </c>
      <c r="J109" s="132"/>
      <c r="K109" s="132">
        <f>((F109*H109/100)*0)/1000000</f>
        <v>0</v>
      </c>
      <c r="L109" s="132">
        <f t="shared" si="20"/>
        <v>1.8</v>
      </c>
      <c r="M109" s="28"/>
    </row>
    <row r="110" spans="2:13" x14ac:dyDescent="0.25">
      <c r="B110" s="74"/>
      <c r="C110" s="80"/>
      <c r="D110" s="58"/>
      <c r="E110" s="67" t="s">
        <v>86</v>
      </c>
      <c r="F110" s="156">
        <v>25000</v>
      </c>
      <c r="G110" s="157">
        <v>840</v>
      </c>
      <c r="H110" s="158">
        <f>10*6</f>
        <v>60</v>
      </c>
      <c r="I110" s="132">
        <f>((F110*H110/100)*100)/1000000</f>
        <v>1.5</v>
      </c>
      <c r="J110" s="132"/>
      <c r="K110" s="132">
        <f>((F110*H110/100)*0)/1000000</f>
        <v>0</v>
      </c>
      <c r="L110" s="132">
        <f t="shared" ref="L110:L124" si="31">SUM(I110:K110)</f>
        <v>1.5</v>
      </c>
      <c r="M110" s="28"/>
    </row>
    <row r="111" spans="2:13" x14ac:dyDescent="0.25">
      <c r="B111" s="74"/>
      <c r="C111" s="80"/>
      <c r="D111" s="58"/>
      <c r="E111" s="67" t="s">
        <v>87</v>
      </c>
      <c r="F111" s="156">
        <v>25000</v>
      </c>
      <c r="G111" s="157">
        <v>420</v>
      </c>
      <c r="H111" s="158">
        <f>5*6</f>
        <v>30</v>
      </c>
      <c r="I111" s="132">
        <f>((F111*H111/100)*100)/1000000</f>
        <v>0.75</v>
      </c>
      <c r="J111" s="132"/>
      <c r="K111" s="132">
        <f>((F111*H111/100)*0)/1000000</f>
        <v>0</v>
      </c>
      <c r="L111" s="132">
        <f t="shared" si="31"/>
        <v>0.75</v>
      </c>
      <c r="M111" s="28"/>
    </row>
    <row r="112" spans="2:13" x14ac:dyDescent="0.25">
      <c r="B112" s="74"/>
      <c r="C112" s="80"/>
      <c r="D112" s="272" t="s">
        <v>126</v>
      </c>
      <c r="E112" s="273"/>
      <c r="F112" s="136"/>
      <c r="G112" s="147"/>
      <c r="H112" s="163"/>
      <c r="I112" s="122">
        <f t="shared" ref="I112:L112" si="32">SUM(I103:I111)</f>
        <v>24.21</v>
      </c>
      <c r="J112" s="122">
        <f t="shared" si="32"/>
        <v>6.8400000000000007</v>
      </c>
      <c r="K112" s="122">
        <f t="shared" si="32"/>
        <v>0</v>
      </c>
      <c r="L112" s="122">
        <f t="shared" si="32"/>
        <v>31.05</v>
      </c>
      <c r="M112" s="164"/>
    </row>
    <row r="113" spans="2:13" ht="26.4" x14ac:dyDescent="0.25">
      <c r="B113" s="74"/>
      <c r="C113" s="80"/>
      <c r="D113" s="38" t="s">
        <v>160</v>
      </c>
      <c r="E113" s="155" t="s">
        <v>57</v>
      </c>
      <c r="F113" s="156">
        <v>20200000</v>
      </c>
      <c r="G113" s="157">
        <v>7</v>
      </c>
      <c r="H113" s="158">
        <v>1</v>
      </c>
      <c r="I113" s="132">
        <f>((F113*H113/100)*70)/1000000</f>
        <v>14.14</v>
      </c>
      <c r="J113" s="132">
        <f>((F113*H113/100)*30)/1000000</f>
        <v>6.06</v>
      </c>
      <c r="K113" s="132">
        <f>((F113*H113/100)*0)/1000000</f>
        <v>0</v>
      </c>
      <c r="L113" s="132">
        <f t="shared" si="31"/>
        <v>20.2</v>
      </c>
      <c r="M113" s="28" t="s">
        <v>97</v>
      </c>
    </row>
    <row r="114" spans="2:13" x14ac:dyDescent="0.25">
      <c r="B114" s="74"/>
      <c r="C114" s="80"/>
      <c r="D114" s="159" t="s">
        <v>126</v>
      </c>
      <c r="E114" s="135"/>
      <c r="F114" s="136"/>
      <c r="G114" s="147"/>
      <c r="H114" s="163"/>
      <c r="I114" s="122">
        <f t="shared" ref="I114:L114" si="33">I113</f>
        <v>14.14</v>
      </c>
      <c r="J114" s="122">
        <f t="shared" si="33"/>
        <v>6.06</v>
      </c>
      <c r="K114" s="122">
        <f t="shared" si="33"/>
        <v>0</v>
      </c>
      <c r="L114" s="122">
        <f t="shared" si="33"/>
        <v>20.2</v>
      </c>
      <c r="M114" s="131"/>
    </row>
    <row r="115" spans="2:13" x14ac:dyDescent="0.25">
      <c r="B115" s="75"/>
      <c r="C115" s="81"/>
      <c r="D115" s="83">
        <v>2</v>
      </c>
      <c r="E115" s="62" t="s">
        <v>46</v>
      </c>
      <c r="F115" s="98"/>
      <c r="G115" s="148"/>
      <c r="H115" s="148"/>
      <c r="I115" s="149"/>
      <c r="J115" s="149"/>
      <c r="K115" s="149"/>
      <c r="L115" s="149"/>
      <c r="M115" s="28"/>
    </row>
    <row r="116" spans="2:13" ht="26.4" x14ac:dyDescent="0.25">
      <c r="B116" s="74"/>
      <c r="C116" s="80"/>
      <c r="D116" s="80"/>
      <c r="E116" s="155" t="s">
        <v>47</v>
      </c>
      <c r="F116" s="156">
        <v>100000</v>
      </c>
      <c r="G116" s="157">
        <v>336</v>
      </c>
      <c r="H116" s="158">
        <f>5*6</f>
        <v>30</v>
      </c>
      <c r="I116" s="132">
        <f>((F116*H116/100)*70)/1000000</f>
        <v>2.1</v>
      </c>
      <c r="J116" s="132">
        <f>((F116*H116/100)*30)/1000000</f>
        <v>0.9</v>
      </c>
      <c r="K116" s="132">
        <f t="shared" ref="K116:K124" si="34">((F116*H116/100)*0)/1000000</f>
        <v>0</v>
      </c>
      <c r="L116" s="132">
        <f t="shared" si="31"/>
        <v>3</v>
      </c>
      <c r="M116" s="28" t="s">
        <v>97</v>
      </c>
    </row>
    <row r="117" spans="2:13" x14ac:dyDescent="0.25">
      <c r="B117" s="74"/>
      <c r="C117" s="80"/>
      <c r="D117" s="80"/>
      <c r="E117" s="155" t="s">
        <v>36</v>
      </c>
      <c r="F117" s="156">
        <v>50000</v>
      </c>
      <c r="G117" s="157">
        <v>336</v>
      </c>
      <c r="H117" s="158">
        <f>5*6</f>
        <v>30</v>
      </c>
      <c r="I117" s="132">
        <f>((F117*H117/100)*100)/1000000</f>
        <v>1.5</v>
      </c>
      <c r="J117" s="132"/>
      <c r="K117" s="132">
        <f t="shared" si="34"/>
        <v>0</v>
      </c>
      <c r="L117" s="132">
        <f t="shared" si="31"/>
        <v>1.5</v>
      </c>
      <c r="M117" s="28"/>
    </row>
    <row r="118" spans="2:13" ht="26.4" x14ac:dyDescent="0.25">
      <c r="B118" s="74"/>
      <c r="C118" s="80"/>
      <c r="D118" s="80"/>
      <c r="E118" s="155" t="s">
        <v>37</v>
      </c>
      <c r="F118" s="156">
        <v>50000</v>
      </c>
      <c r="G118" s="157">
        <v>336</v>
      </c>
      <c r="H118" s="158">
        <f>5*6</f>
        <v>30</v>
      </c>
      <c r="I118" s="132">
        <f>((F118*H118/100)*77)/1000000</f>
        <v>1.155</v>
      </c>
      <c r="J118" s="132">
        <f>((F118*H118/100)*23)/1000000</f>
        <v>0.34499999999999997</v>
      </c>
      <c r="K118" s="132">
        <f t="shared" si="34"/>
        <v>0</v>
      </c>
      <c r="L118" s="132">
        <f t="shared" si="31"/>
        <v>1.5</v>
      </c>
      <c r="M118" s="28" t="s">
        <v>204</v>
      </c>
    </row>
    <row r="119" spans="2:13" x14ac:dyDescent="0.25">
      <c r="B119" s="74"/>
      <c r="C119" s="80"/>
      <c r="D119" s="80"/>
      <c r="E119" s="155" t="s">
        <v>38</v>
      </c>
      <c r="F119" s="156">
        <v>50000</v>
      </c>
      <c r="G119" s="157">
        <v>1680</v>
      </c>
      <c r="H119" s="158">
        <f>5*4*6</f>
        <v>120</v>
      </c>
      <c r="I119" s="132">
        <f>((F119*H119/100)*100)/1000000</f>
        <v>6</v>
      </c>
      <c r="J119" s="132"/>
      <c r="K119" s="132">
        <f t="shared" si="34"/>
        <v>0</v>
      </c>
      <c r="L119" s="132">
        <f t="shared" si="31"/>
        <v>6</v>
      </c>
      <c r="M119" s="28"/>
    </row>
    <row r="120" spans="2:13" x14ac:dyDescent="0.25">
      <c r="B120" s="74"/>
      <c r="C120" s="80"/>
      <c r="D120" s="80"/>
      <c r="E120" s="155" t="s">
        <v>39</v>
      </c>
      <c r="F120" s="156">
        <v>35000</v>
      </c>
      <c r="G120" s="157">
        <v>1680</v>
      </c>
      <c r="H120" s="158">
        <f>5*4*6</f>
        <v>120</v>
      </c>
      <c r="I120" s="132">
        <f>((F120*H120/100)*77)/1000000</f>
        <v>3.234</v>
      </c>
      <c r="J120" s="132">
        <f>((F120*H120/100)*23)/1000000</f>
        <v>0.96599999999999997</v>
      </c>
      <c r="K120" s="132">
        <f t="shared" si="34"/>
        <v>0</v>
      </c>
      <c r="L120" s="132">
        <f t="shared" si="31"/>
        <v>4.2</v>
      </c>
      <c r="M120" s="262" t="s">
        <v>204</v>
      </c>
    </row>
    <row r="121" spans="2:13" x14ac:dyDescent="0.25">
      <c r="B121" s="74"/>
      <c r="C121" s="80"/>
      <c r="D121" s="80"/>
      <c r="E121" s="155" t="s">
        <v>40</v>
      </c>
      <c r="F121" s="156">
        <v>30000</v>
      </c>
      <c r="G121" s="157">
        <v>336</v>
      </c>
      <c r="H121" s="158">
        <f>5*0.8*6</f>
        <v>24</v>
      </c>
      <c r="I121" s="132">
        <f>((F121*H121/100)*77)/1000000</f>
        <v>0.5544</v>
      </c>
      <c r="J121" s="132">
        <f>((F121*H121/100)*23)/1000000</f>
        <v>0.1656</v>
      </c>
      <c r="K121" s="132">
        <f t="shared" si="34"/>
        <v>0</v>
      </c>
      <c r="L121" s="132">
        <f t="shared" si="31"/>
        <v>0.72</v>
      </c>
      <c r="M121" s="263"/>
    </row>
    <row r="122" spans="2:13" x14ac:dyDescent="0.25">
      <c r="B122" s="74"/>
      <c r="C122" s="80"/>
      <c r="D122" s="80"/>
      <c r="E122" s="155" t="s">
        <v>41</v>
      </c>
      <c r="F122" s="156">
        <v>50000</v>
      </c>
      <c r="G122" s="157">
        <v>336</v>
      </c>
      <c r="H122" s="158">
        <f>5*0.8*6</f>
        <v>24</v>
      </c>
      <c r="I122" s="132">
        <f>((F122*H122/100)*77)/1000000</f>
        <v>0.92400000000000004</v>
      </c>
      <c r="J122" s="132">
        <f>((F122*H122/100)*23)/1000000</f>
        <v>0.27600000000000002</v>
      </c>
      <c r="K122" s="132">
        <f t="shared" si="34"/>
        <v>0</v>
      </c>
      <c r="L122" s="132">
        <f t="shared" si="31"/>
        <v>1.2000000000000002</v>
      </c>
      <c r="M122" s="263"/>
    </row>
    <row r="123" spans="2:13" x14ac:dyDescent="0.25">
      <c r="B123" s="74"/>
      <c r="C123" s="80"/>
      <c r="D123" s="80"/>
      <c r="E123" s="155" t="s">
        <v>42</v>
      </c>
      <c r="F123" s="156">
        <v>15000</v>
      </c>
      <c r="G123" s="157">
        <v>336</v>
      </c>
      <c r="H123" s="158">
        <f>5*0.8*6</f>
        <v>24</v>
      </c>
      <c r="I123" s="132">
        <f>((F123*H123/100)*77)/1000000</f>
        <v>0.2772</v>
      </c>
      <c r="J123" s="132">
        <f>((F123*H123/100)*23)/1000000</f>
        <v>8.2799999999999999E-2</v>
      </c>
      <c r="K123" s="132">
        <f t="shared" si="34"/>
        <v>0</v>
      </c>
      <c r="L123" s="132">
        <f t="shared" si="31"/>
        <v>0.36</v>
      </c>
      <c r="M123" s="263"/>
    </row>
    <row r="124" spans="2:13" x14ac:dyDescent="0.25">
      <c r="B124" s="74"/>
      <c r="C124" s="80"/>
      <c r="D124" s="82"/>
      <c r="E124" s="155" t="s">
        <v>58</v>
      </c>
      <c r="F124" s="156">
        <v>2000000</v>
      </c>
      <c r="G124" s="157">
        <v>7</v>
      </c>
      <c r="H124" s="158">
        <v>1</v>
      </c>
      <c r="I124" s="132">
        <f>((F124*H124/100)*77)/1000000</f>
        <v>1.54</v>
      </c>
      <c r="J124" s="132">
        <f>((F124*H124/100)*23)/1000000</f>
        <v>0.46</v>
      </c>
      <c r="K124" s="132">
        <f t="shared" si="34"/>
        <v>0</v>
      </c>
      <c r="L124" s="132">
        <f t="shared" si="31"/>
        <v>2</v>
      </c>
      <c r="M124" s="264"/>
    </row>
    <row r="125" spans="2:13" x14ac:dyDescent="0.25">
      <c r="B125" s="74"/>
      <c r="C125" s="82"/>
      <c r="D125" s="159" t="s">
        <v>126</v>
      </c>
      <c r="E125" s="135"/>
      <c r="F125" s="136"/>
      <c r="G125" s="147"/>
      <c r="H125" s="163"/>
      <c r="I125" s="122">
        <f t="shared" ref="I125:L125" si="35">SUM(I116:I124)</f>
        <v>17.284599999999998</v>
      </c>
      <c r="J125" s="122">
        <f t="shared" si="35"/>
        <v>3.1954000000000007</v>
      </c>
      <c r="K125" s="122">
        <f t="shared" si="35"/>
        <v>0</v>
      </c>
      <c r="L125" s="122">
        <f t="shared" si="35"/>
        <v>20.479999999999997</v>
      </c>
      <c r="M125" s="131"/>
    </row>
    <row r="126" spans="2:13" x14ac:dyDescent="0.25">
      <c r="B126" s="76"/>
      <c r="C126" s="159" t="s">
        <v>199</v>
      </c>
      <c r="D126" s="126"/>
      <c r="E126" s="135"/>
      <c r="F126" s="136"/>
      <c r="G126" s="147"/>
      <c r="H126" s="163"/>
      <c r="I126" s="122">
        <f t="shared" ref="I126:L126" si="36">SUM(I112,I114,I125)</f>
        <v>55.634599999999999</v>
      </c>
      <c r="J126" s="122">
        <f t="shared" si="36"/>
        <v>16.095400000000001</v>
      </c>
      <c r="K126" s="122">
        <f t="shared" si="36"/>
        <v>0</v>
      </c>
      <c r="L126" s="122">
        <f t="shared" si="36"/>
        <v>71.72999999999999</v>
      </c>
      <c r="M126" s="131"/>
    </row>
    <row r="127" spans="2:13" x14ac:dyDescent="0.25">
      <c r="B127" s="159" t="s">
        <v>205</v>
      </c>
      <c r="C127" s="165"/>
      <c r="D127" s="126"/>
      <c r="E127" s="135"/>
      <c r="F127" s="136"/>
      <c r="G127" s="147"/>
      <c r="H127" s="163"/>
      <c r="I127" s="122">
        <f t="shared" ref="I127:L127" si="37">SUM(I100,I126)</f>
        <v>100.60726650000001</v>
      </c>
      <c r="J127" s="122">
        <f t="shared" si="37"/>
        <v>31.859183499999997</v>
      </c>
      <c r="K127" s="122">
        <f t="shared" si="37"/>
        <v>0</v>
      </c>
      <c r="L127" s="122">
        <f t="shared" si="37"/>
        <v>132.46645000000001</v>
      </c>
      <c r="M127" s="131"/>
    </row>
    <row r="128" spans="2:13" x14ac:dyDescent="0.25">
      <c r="B128" s="159" t="s">
        <v>213</v>
      </c>
      <c r="C128" s="165"/>
      <c r="D128" s="126"/>
      <c r="E128" s="135"/>
      <c r="F128" s="122">
        <v>2190.35</v>
      </c>
      <c r="G128" s="122">
        <v>0</v>
      </c>
      <c r="H128" s="122">
        <v>0</v>
      </c>
      <c r="I128" s="122">
        <v>0</v>
      </c>
      <c r="J128" s="10">
        <v>0</v>
      </c>
      <c r="K128" s="10">
        <v>0</v>
      </c>
      <c r="L128" s="10">
        <v>0</v>
      </c>
      <c r="M128" s="131"/>
    </row>
    <row r="130" spans="2:13" ht="21" customHeight="1" x14ac:dyDescent="0.25">
      <c r="B130" s="166" t="s">
        <v>206</v>
      </c>
      <c r="C130" s="165"/>
      <c r="D130" s="126"/>
      <c r="E130" s="135"/>
      <c r="F130" s="136"/>
      <c r="G130" s="147"/>
      <c r="H130" s="163"/>
      <c r="I130" s="122">
        <f t="shared" ref="I130:L130" si="38">SUM(I49,I127)</f>
        <v>260.51502342000003</v>
      </c>
      <c r="J130" s="122">
        <f t="shared" si="38"/>
        <v>82.124542579999996</v>
      </c>
      <c r="K130" s="122">
        <f t="shared" si="38"/>
        <v>1.0618799999999999</v>
      </c>
      <c r="L130" s="122">
        <f t="shared" si="38"/>
        <v>343.70144599999998</v>
      </c>
      <c r="M130" s="131"/>
    </row>
  </sheetData>
  <mergeCells count="19">
    <mergeCell ref="M120:M124"/>
    <mergeCell ref="B1:B2"/>
    <mergeCell ref="E1:E2"/>
    <mergeCell ref="F1:G1"/>
    <mergeCell ref="H1:H2"/>
    <mergeCell ref="I1:L1"/>
    <mergeCell ref="M1:M2"/>
    <mergeCell ref="M6:M15"/>
    <mergeCell ref="M18:M20"/>
    <mergeCell ref="M23:M27"/>
    <mergeCell ref="M32:M41"/>
    <mergeCell ref="M44:M46"/>
    <mergeCell ref="M53:M71"/>
    <mergeCell ref="M103:M105"/>
    <mergeCell ref="M73:M78"/>
    <mergeCell ref="M79:M83"/>
    <mergeCell ref="M96:M98"/>
    <mergeCell ref="D112:E112"/>
    <mergeCell ref="M90:M93"/>
  </mergeCells>
  <pageMargins left="0.25" right="0.32" top="0.3" bottom="0.35" header="0.3" footer="0.3"/>
  <pageSetup scale="70" orientation="landscape" r:id="rId1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 </vt:lpstr>
      <vt:lpstr>1. Agribusiness Development</vt:lpstr>
      <vt:lpstr>2. Skill Development and Employ</vt:lpstr>
      <vt:lpstr>3.Proj Management Unit</vt:lpstr>
      <vt:lpstr>Proj Management (2)</vt:lpstr>
      <vt:lpstr>'1. Agribusiness Development'!Print_Area</vt:lpstr>
      <vt:lpstr>'3.Proj Management Unit'!Print_Area</vt:lpstr>
      <vt:lpstr>'Proj Management (2)'!Print_Area</vt:lpstr>
      <vt:lpstr>'3.Proj Management Unit'!Print_Titles</vt:lpstr>
      <vt:lpstr>'Proj Management (2)'!Print_Titles</vt:lpstr>
    </vt:vector>
  </TitlesOfParts>
  <Company>IFAD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w.shahzad@ifad.org</dc:creator>
  <cp:lastModifiedBy>Lenovo</cp:lastModifiedBy>
  <cp:lastPrinted>2023-11-19T12:56:26Z</cp:lastPrinted>
  <dcterms:created xsi:type="dcterms:W3CDTF">2006-10-27T12:00:20Z</dcterms:created>
  <dcterms:modified xsi:type="dcterms:W3CDTF">2024-01-11T06:36:58Z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D">
    <vt:lpwstr/>
  </property>
</Properties>
</file>